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R:\Documentatie\FES rekenschema\"/>
    </mc:Choice>
  </mc:AlternateContent>
  <xr:revisionPtr revIDLastSave="0" documentId="13_ncr:1_{54790310-8926-472C-B942-DD433AA8F1B4}" xr6:coauthVersionLast="47" xr6:coauthVersionMax="47" xr10:uidLastSave="{00000000-0000-0000-0000-000000000000}"/>
  <bookViews>
    <workbookView xWindow="28680" yWindow="-120" windowWidth="29040" windowHeight="15720" xr2:uid="{ABCD4981-C01B-4B1F-9495-BB9C21AF22DD}"/>
  </bookViews>
  <sheets>
    <sheet name="Forest FES-Wave" sheetId="1" r:id="rId1"/>
    <sheet name="Forest FES-Wave Mobile" sheetId="2" state="hidden" r:id="rId2"/>
  </sheets>
  <definedNames>
    <definedName name="AFBEELDING">IF('Forest FES-Wave'!$H$101=1,'Forest FES-Wave'!$EJ$602,OFFSET('Forest FES-Wave'!$EJ$601,'Forest FES-Wave'!$AO$64,'Forest FES-Wave'!$AO$65))</definedName>
    <definedName name="_xlnm.Print_Area" localSheetId="0">'Forest FES-Wave'!$A$1:$AI$44</definedName>
    <definedName name="Afstandglijder">IF(SUM('Forest FES-Wave'!$BA$78:$BF$78)=0,'Forest FES-Wave'!$A$5,IF('Forest FES-Wave'!$BM$93=1,'Forest FES-Wave'!$BC$94:$BC$96,'Forest FES-Wave'!$BI$94:OFFSET('Forest FES-Wave'!$BI$94,SUM('Forest FES-Wave'!$BA$78:$BF$78)-1,0)))</definedName>
    <definedName name="Foto_band">IF('Forest FES-Wave'!$H$101+'Forest FES-Wave'!$I$101&gt;=1,'Forest FES-Wave'!$EJ$599,IF('Forest FES-Wave'!$E$15='Forest FES-Wave'!$AW$100,'Forest FES-Wave'!$EJ$598,IF('Forest FES-Wave'!$E$15='Forest FES-Wave'!$AW$101,'Forest FES-Wave'!$EJ$597,'Forest FES-Wave'!$EJ$598)))</definedName>
    <definedName name="Glijder">IF(SUM('Forest FES-Wave'!$R$57:$T$57)=0,'Forest FES-Wave'!$A$5,IF('Forest FES-Wave'!$BM$99=1,'Forest FES-Wave'!$BC$100:$BC$102,'Forest FES-Wave'!$BI$100:OFFSET('Forest FES-Wave'!$BI$100,SUM('Forest FES-Wave'!$R$57:$T$57)-1,0)))</definedName>
    <definedName name="Pakketzijde">IF('Forest FES-Wave'!$E$11='Forest FES-Wave'!$A$76,'Forest FES-Wave'!$AW$106:$AW$106,'Forest FES-Wave'!$AW$105:$AW$106)</definedName>
    <definedName name="Voorloper">IF('Forest FES-Wave'!$P$57=1,'Forest FES-Wave'!$EW$109:$EW$110,'Forest FES-Wave'!$AU$42)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10" i="1" l="1"/>
  <c r="H113" i="1"/>
  <c r="CJ89" i="1" a="1"/>
  <c r="CJ89" i="1" s="1"/>
  <c r="CJ93" i="1" a="1"/>
  <c r="CJ93" i="1" s="1"/>
  <c r="W38" i="2"/>
  <c r="W51" i="2"/>
  <c r="W35" i="2"/>
  <c r="C1" i="2"/>
  <c r="CI90" i="1" l="1"/>
  <c r="CI91" i="1"/>
  <c r="J124" i="1"/>
  <c r="J122" i="1"/>
  <c r="BC75" i="1"/>
  <c r="AH106" i="1"/>
  <c r="CR79" i="1"/>
  <c r="CR84" i="1"/>
  <c r="CR83" i="1"/>
  <c r="CR82" i="1"/>
  <c r="CR81" i="1"/>
  <c r="CR80" i="1"/>
  <c r="CR78" i="1"/>
  <c r="H89" i="2"/>
  <c r="H85" i="2"/>
  <c r="H80" i="2"/>
  <c r="H78" i="2"/>
  <c r="H75" i="2"/>
  <c r="N76" i="2"/>
  <c r="H76" i="2" s="1"/>
  <c r="H72" i="2"/>
  <c r="H71" i="2"/>
  <c r="H69" i="2"/>
  <c r="W36" i="2"/>
  <c r="AC34" i="2"/>
  <c r="AE34" i="2"/>
  <c r="AD34" i="2"/>
  <c r="AB34" i="2"/>
  <c r="W70" i="2"/>
  <c r="W69" i="2"/>
  <c r="W68" i="2"/>
  <c r="W67" i="2"/>
  <c r="W66" i="2"/>
  <c r="W65" i="2"/>
  <c r="W64" i="2"/>
  <c r="W63" i="2"/>
  <c r="W62" i="2"/>
  <c r="W61" i="2"/>
  <c r="W60" i="2"/>
  <c r="W59" i="2"/>
  <c r="W58" i="2"/>
  <c r="W57" i="2"/>
  <c r="W56" i="2"/>
  <c r="W55" i="2"/>
  <c r="W54" i="2"/>
  <c r="W53" i="2"/>
  <c r="W52" i="2"/>
  <c r="W50" i="2"/>
  <c r="W49" i="2"/>
  <c r="AC48" i="2"/>
  <c r="AB48" i="2"/>
  <c r="W48" i="2"/>
  <c r="W47" i="2"/>
  <c r="AC46" i="2"/>
  <c r="AB46" i="2"/>
  <c r="W46" i="2"/>
  <c r="AC45" i="2"/>
  <c r="AB45" i="2"/>
  <c r="W45" i="2"/>
  <c r="W44" i="2"/>
  <c r="W43" i="2"/>
  <c r="W42" i="2"/>
  <c r="W41" i="2"/>
  <c r="W40" i="2"/>
  <c r="W39" i="2"/>
  <c r="W37" i="2"/>
  <c r="A24" i="2"/>
  <c r="CO86" i="1"/>
  <c r="CO85" i="1"/>
  <c r="CO84" i="1"/>
  <c r="CO83" i="1"/>
  <c r="CR77" i="1"/>
  <c r="CO77" i="1"/>
  <c r="CO82" i="1"/>
  <c r="CO81" i="1"/>
  <c r="CO80" i="1"/>
  <c r="CO79" i="1"/>
  <c r="CO78" i="1"/>
  <c r="H118" i="1"/>
  <c r="CL77" i="1" l="1" a="1"/>
  <c r="CL77" i="1" s="1"/>
  <c r="AA34" i="2"/>
  <c r="AA35" i="2" s="1" a="1"/>
  <c r="CI89" i="1"/>
  <c r="AW96" i="1"/>
  <c r="I129" i="1" s="1"/>
  <c r="I101" i="1" s="1"/>
  <c r="H130" i="1"/>
  <c r="I128" i="1"/>
  <c r="J123" i="1"/>
  <c r="K65" i="1"/>
  <c r="AW94" i="1"/>
  <c r="K131" i="1"/>
  <c r="AA35" i="2" l="1"/>
  <c r="A16" i="2"/>
  <c r="A17" i="2"/>
  <c r="A14" i="2"/>
  <c r="A15" i="2"/>
  <c r="A12" i="2"/>
  <c r="A13" i="2"/>
  <c r="A10" i="2"/>
  <c r="A11" i="2"/>
  <c r="A8" i="2"/>
  <c r="AI66" i="1" l="1"/>
  <c r="AI67" i="1" s="1"/>
  <c r="AW95" i="1"/>
  <c r="T112" i="1" s="1"/>
  <c r="BV109" i="1"/>
  <c r="H108" i="1"/>
  <c r="BW110" i="1" l="1"/>
  <c r="Q109" i="1"/>
  <c r="H109" i="1" s="1"/>
  <c r="J27" i="1"/>
  <c r="BX112" i="1"/>
  <c r="BX120" i="1"/>
  <c r="BX116" i="1"/>
  <c r="BX108" i="1"/>
  <c r="BV120" i="1"/>
  <c r="BV116" i="1"/>
  <c r="BV112" i="1"/>
  <c r="BV108" i="1"/>
  <c r="BW115" i="1"/>
  <c r="BW120" i="1"/>
  <c r="BW112" i="1"/>
  <c r="BV115" i="1"/>
  <c r="BW111" i="1"/>
  <c r="BV107" i="1"/>
  <c r="BX109" i="1"/>
  <c r="BX119" i="1"/>
  <c r="BX115" i="1"/>
  <c r="BX111" i="1"/>
  <c r="BX107" i="1"/>
  <c r="BW119" i="1"/>
  <c r="BW107" i="1"/>
  <c r="BV119" i="1"/>
  <c r="BV111" i="1"/>
  <c r="BX118" i="1"/>
  <c r="BX114" i="1"/>
  <c r="BW106" i="1"/>
  <c r="BW118" i="1"/>
  <c r="BW114" i="1"/>
  <c r="BX106" i="1"/>
  <c r="BV118" i="1"/>
  <c r="BV110" i="1"/>
  <c r="BX121" i="1"/>
  <c r="BX117" i="1"/>
  <c r="BX113" i="1"/>
  <c r="BW121" i="1"/>
  <c r="BW117" i="1"/>
  <c r="BW113" i="1"/>
  <c r="BW109" i="1"/>
  <c r="BW116" i="1"/>
  <c r="BW108" i="1"/>
  <c r="BV106" i="1"/>
  <c r="BX110" i="1"/>
  <c r="BV114" i="1"/>
  <c r="BV121" i="1"/>
  <c r="BV117" i="1"/>
  <c r="BV113" i="1"/>
  <c r="K69" i="1"/>
  <c r="ES123" i="1" l="1"/>
  <c r="K61" i="1"/>
  <c r="K62" i="1"/>
  <c r="K63" i="1"/>
  <c r="K64" i="1"/>
  <c r="K66" i="1"/>
  <c r="K67" i="1"/>
  <c r="K68" i="1"/>
  <c r="K70" i="1"/>
  <c r="K71" i="1"/>
  <c r="K72" i="1"/>
  <c r="K73" i="1"/>
  <c r="K74" i="1"/>
  <c r="K75" i="1"/>
  <c r="K76" i="1"/>
  <c r="K77" i="1"/>
  <c r="K78" i="1"/>
  <c r="K79" i="1"/>
  <c r="K80" i="1"/>
  <c r="K60" i="1"/>
  <c r="K59" i="1"/>
  <c r="ES145" i="1"/>
  <c r="ES146" i="1"/>
  <c r="ES147" i="1"/>
  <c r="AO104" i="1" l="1"/>
  <c r="K101" i="1"/>
  <c r="BZ114" i="1"/>
  <c r="ES144" i="1" l="1"/>
  <c r="ES142" i="1" l="1"/>
  <c r="E1" i="1"/>
  <c r="ES143" i="1"/>
  <c r="ES141" i="1"/>
  <c r="ES140" i="1"/>
  <c r="ES139" i="1"/>
  <c r="ES138" i="1"/>
  <c r="ES137" i="1"/>
  <c r="ES136" i="1"/>
  <c r="ES135" i="1"/>
  <c r="ES134" i="1"/>
  <c r="ES133" i="1"/>
  <c r="ES132" i="1"/>
  <c r="ES131" i="1"/>
  <c r="ES130" i="1"/>
  <c r="ES129" i="1"/>
  <c r="ES128" i="1"/>
  <c r="ES127" i="1"/>
  <c r="ES126" i="1"/>
  <c r="ES125" i="1"/>
  <c r="ES124" i="1"/>
  <c r="ES122" i="1"/>
  <c r="ES121" i="1"/>
  <c r="ES120" i="1"/>
  <c r="ES119" i="1"/>
  <c r="ES118" i="1"/>
  <c r="ES117" i="1"/>
  <c r="ES116" i="1"/>
  <c r="ES115" i="1"/>
  <c r="ES114" i="1"/>
  <c r="ES113" i="1"/>
  <c r="ES112" i="1"/>
  <c r="ES111" i="1"/>
  <c r="ES110" i="1"/>
  <c r="ES109" i="1"/>
  <c r="ES108" i="1"/>
  <c r="ES107" i="1"/>
  <c r="ES106" i="1"/>
  <c r="ES105" i="1"/>
  <c r="ES104" i="1"/>
  <c r="ES103" i="1"/>
  <c r="ES102" i="1"/>
  <c r="ES101" i="1"/>
  <c r="ES100" i="1"/>
  <c r="ES99" i="1"/>
  <c r="ES98" i="1"/>
  <c r="ES97" i="1"/>
  <c r="ES96" i="1"/>
  <c r="ES95" i="1"/>
  <c r="ES94" i="1"/>
  <c r="ES93" i="1"/>
  <c r="ES92" i="1"/>
  <c r="ES91" i="1"/>
  <c r="ES90" i="1"/>
  <c r="ES89" i="1"/>
  <c r="ES88" i="1"/>
  <c r="ES87" i="1"/>
  <c r="ES86" i="1"/>
  <c r="ES85" i="1"/>
  <c r="ES84" i="1"/>
  <c r="ES83" i="1"/>
  <c r="ES82" i="1"/>
  <c r="ES81" i="1"/>
  <c r="ES80" i="1"/>
  <c r="ES79" i="1"/>
  <c r="ES78" i="1"/>
  <c r="ES77" i="1"/>
  <c r="ES76" i="1"/>
  <c r="ES75" i="1"/>
  <c r="ES74" i="1"/>
  <c r="ES73" i="1"/>
  <c r="ES72" i="1"/>
  <c r="ES71" i="1"/>
  <c r="ES70" i="1"/>
  <c r="ES69" i="1"/>
  <c r="ES68" i="1"/>
  <c r="ES67" i="1"/>
  <c r="H105" i="1" l="1"/>
  <c r="H104" i="1"/>
  <c r="H102" i="1"/>
  <c r="G60" i="1"/>
  <c r="G61" i="1" s="1"/>
  <c r="G62" i="1" s="1"/>
  <c r="G63" i="1" s="1"/>
  <c r="G64" i="1" s="1"/>
  <c r="G65" i="1" s="1"/>
  <c r="G66" i="1" s="1"/>
  <c r="G67" i="1" s="1"/>
  <c r="BZ107" i="1"/>
  <c r="BZ108" i="1"/>
  <c r="BZ109" i="1"/>
  <c r="BZ110" i="1"/>
  <c r="BZ111" i="1"/>
  <c r="BZ112" i="1"/>
  <c r="BZ113" i="1"/>
  <c r="BZ115" i="1"/>
  <c r="BZ116" i="1"/>
  <c r="BZ117" i="1"/>
  <c r="BZ118" i="1"/>
  <c r="BZ119" i="1"/>
  <c r="BZ120" i="1"/>
  <c r="BZ121" i="1"/>
  <c r="BZ106" i="1"/>
  <c r="A26" i="2" l="1"/>
  <c r="A27" i="2"/>
  <c r="A25" i="2"/>
  <c r="D5" i="2"/>
  <c r="AR118" i="1"/>
  <c r="AR119" i="1"/>
  <c r="AR116" i="1"/>
  <c r="AR117" i="1"/>
  <c r="AR114" i="1"/>
  <c r="AR115" i="1"/>
  <c r="M27" i="1"/>
  <c r="G68" i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H111" i="1"/>
  <c r="AF18" i="1" l="1"/>
  <c r="AF17" i="1"/>
  <c r="CF71" i="1" l="1"/>
  <c r="CF72" i="1"/>
  <c r="CF69" i="1"/>
  <c r="CF70" i="1"/>
  <c r="CF66" i="1"/>
  <c r="CF67" i="1"/>
  <c r="CF65" i="1"/>
  <c r="CF68" i="1"/>
  <c r="CF64" i="1"/>
  <c r="AJ67" i="1"/>
  <c r="AJ65" i="1"/>
  <c r="AJ66" i="1"/>
  <c r="AY81" i="1"/>
  <c r="BC81" i="1" s="1"/>
  <c r="AY79" i="1"/>
  <c r="BA79" i="1" s="1"/>
  <c r="AY80" i="1"/>
  <c r="BY122" i="1"/>
  <c r="AH108" i="1"/>
  <c r="AH105" i="1"/>
  <c r="AH107" i="1" s="1"/>
  <c r="EY66" i="1" l="1"/>
  <c r="EZ66" i="1"/>
  <c r="FA66" i="1"/>
  <c r="EX66" i="1"/>
  <c r="H74" i="2"/>
  <c r="BC79" i="1"/>
  <c r="AY78" i="1"/>
  <c r="AJ64" i="1"/>
  <c r="BA81" i="1"/>
  <c r="BE81" i="1"/>
  <c r="BE79" i="1"/>
  <c r="BC80" i="1"/>
  <c r="BE80" i="1"/>
  <c r="BA80" i="1"/>
  <c r="J125" i="1"/>
  <c r="H107" i="1"/>
  <c r="H106" i="1"/>
  <c r="BP63" i="1"/>
  <c r="H73" i="2"/>
  <c r="BR63" i="1"/>
  <c r="EW66" i="1" l="1"/>
  <c r="EW67" i="1" s="1" a="1"/>
  <c r="G10" i="2"/>
  <c r="BA78" i="1"/>
  <c r="BC94" i="1" s="1"/>
  <c r="BC78" i="1"/>
  <c r="BC95" i="1" s="1"/>
  <c r="BE78" i="1"/>
  <c r="BC96" i="1" s="1"/>
  <c r="J13" i="1"/>
  <c r="EW67" i="1" l="1"/>
  <c r="L13" i="1"/>
  <c r="N79" i="2"/>
  <c r="Q112" i="1"/>
  <c r="BI94" i="1" a="1"/>
  <c r="BI94" i="1" s="1"/>
  <c r="Q103" i="1" l="1"/>
  <c r="H103" i="1" s="1"/>
  <c r="Q114" i="1"/>
  <c r="BM93" i="1"/>
  <c r="Q79" i="2"/>
  <c r="H79" i="2" l="1"/>
  <c r="G14" i="2" s="1"/>
  <c r="L133" i="1"/>
  <c r="I91" i="2"/>
  <c r="H112" i="1"/>
  <c r="L17" i="1" l="1"/>
  <c r="J17" i="1"/>
  <c r="AK64" i="1" l="1"/>
  <c r="I68" i="2"/>
  <c r="A76" i="1" l="1"/>
  <c r="A1" i="2"/>
  <c r="A20" i="1"/>
  <c r="A13" i="1"/>
  <c r="A44" i="1"/>
  <c r="AW109" i="1"/>
  <c r="O59" i="1" s="1"/>
  <c r="A41" i="1"/>
  <c r="A28" i="1"/>
  <c r="A15" i="1"/>
  <c r="A11" i="1"/>
  <c r="A65" i="1"/>
  <c r="H65" i="1" s="1"/>
  <c r="A70" i="1"/>
  <c r="H70" i="1" s="1"/>
  <c r="A62" i="1"/>
  <c r="H62" i="1" s="1"/>
  <c r="A78" i="1"/>
  <c r="H78" i="1" s="1"/>
  <c r="A59" i="1"/>
  <c r="H59" i="1" s="1"/>
  <c r="A1" i="1"/>
  <c r="A43" i="1"/>
  <c r="A40" i="1"/>
  <c r="AR107" i="1"/>
  <c r="A80" i="1"/>
  <c r="H80" i="1" s="1"/>
  <c r="A72" i="1"/>
  <c r="H72" i="1" s="1"/>
  <c r="A74" i="1"/>
  <c r="H74" i="1" s="1"/>
  <c r="A27" i="1"/>
  <c r="AW106" i="1"/>
  <c r="A67" i="1"/>
  <c r="H67" i="1" s="1"/>
  <c r="A68" i="1"/>
  <c r="H68" i="1" s="1"/>
  <c r="A69" i="1"/>
  <c r="H69" i="1" s="1"/>
  <c r="A66" i="1"/>
  <c r="H66" i="1" s="1"/>
  <c r="A19" i="1"/>
  <c r="AW105" i="1"/>
  <c r="A77" i="1"/>
  <c r="H77" i="1" s="1"/>
  <c r="A60" i="1"/>
  <c r="H60" i="1" s="1"/>
  <c r="A75" i="1"/>
  <c r="H75" i="1" s="1"/>
  <c r="AR109" i="1"/>
  <c r="A42" i="1"/>
  <c r="AR106" i="1"/>
  <c r="AR105" i="1"/>
  <c r="A71" i="1"/>
  <c r="H71" i="1" s="1"/>
  <c r="A64" i="1"/>
  <c r="H64" i="1" s="1"/>
  <c r="A61" i="1"/>
  <c r="H61" i="1" s="1"/>
  <c r="A73" i="1"/>
  <c r="H73" i="1" s="1"/>
  <c r="AR108" i="1"/>
  <c r="A79" i="1"/>
  <c r="H79" i="1" s="1"/>
  <c r="A63" i="1"/>
  <c r="H63" i="1" s="1"/>
  <c r="AR110" i="1"/>
  <c r="BJ106" i="1" a="1"/>
  <c r="BJ106" i="1" s="1"/>
  <c r="A17" i="1"/>
  <c r="AW110" i="1"/>
  <c r="H86" i="2" l="1"/>
  <c r="BV122" i="1"/>
  <c r="L23" i="1"/>
  <c r="J23" i="1" s="1"/>
  <c r="BJ105" i="1"/>
  <c r="A24" i="1"/>
  <c r="A21" i="2"/>
  <c r="A20" i="2"/>
  <c r="H76" i="1"/>
  <c r="G57" i="1" s="1"/>
  <c r="A23" i="1"/>
  <c r="H119" i="1"/>
  <c r="H84" i="2"/>
  <c r="H117" i="1"/>
  <c r="N83" i="2"/>
  <c r="AO67" i="1"/>
  <c r="AK78" i="1"/>
  <c r="N81" i="2"/>
  <c r="H81" i="2" s="1"/>
  <c r="G16" i="2" s="1"/>
  <c r="AO66" i="1"/>
  <c r="J127" i="1"/>
  <c r="Q116" i="1"/>
  <c r="H114" i="1"/>
  <c r="O63" i="1"/>
  <c r="AK79" i="1"/>
  <c r="BR81" i="1"/>
  <c r="BV64" i="1"/>
  <c r="BV81" i="1"/>
  <c r="BP64" i="1"/>
  <c r="BT81" i="1"/>
  <c r="BP81" i="1"/>
  <c r="BT64" i="1"/>
  <c r="BR64" i="1"/>
  <c r="L132" i="1" l="1"/>
  <c r="I90" i="2"/>
  <c r="BC105" i="1" a="1"/>
  <c r="BC105" i="1" s="1"/>
  <c r="N70" i="2" s="1"/>
  <c r="H70" i="2" s="1"/>
  <c r="G8" i="2" s="1"/>
  <c r="J19" i="1"/>
  <c r="L19" i="1"/>
  <c r="L11" i="1"/>
  <c r="J11" i="1"/>
  <c r="CK64" i="1"/>
  <c r="J57" i="1" a="1"/>
  <c r="AO64" i="1"/>
  <c r="H120" i="1" l="1"/>
  <c r="H121" i="1"/>
  <c r="H87" i="2"/>
  <c r="H88" i="2"/>
  <c r="J57" i="1"/>
  <c r="AK76" i="1"/>
  <c r="BC102" i="1"/>
  <c r="BF83" i="1"/>
  <c r="BC100" i="1"/>
  <c r="A21" i="1"/>
  <c r="J126" i="1"/>
  <c r="J101" i="1" s="1"/>
  <c r="BV65" i="1" s="1"/>
  <c r="H83" i="2"/>
  <c r="AN90" i="1"/>
  <c r="AN89" i="1" s="1"/>
  <c r="BP86" i="1"/>
  <c r="H115" i="1"/>
  <c r="AL90" i="1"/>
  <c r="AL89" i="1" s="1"/>
  <c r="AI70" i="1" s="1"/>
  <c r="BA83" i="1"/>
  <c r="BP88" i="1" s="1"/>
  <c r="AO65" i="1"/>
  <c r="AJ90" i="1"/>
  <c r="AJ89" i="1" s="1"/>
  <c r="BR86" i="1" s="1"/>
  <c r="H82" i="2"/>
  <c r="H116" i="1"/>
  <c r="BC101" i="1"/>
  <c r="A18" i="2"/>
  <c r="BE83" i="1"/>
  <c r="A19" i="2"/>
  <c r="BC83" i="1" l="1"/>
  <c r="BR88" i="1" s="1"/>
  <c r="G20" i="2"/>
  <c r="BR65" i="1"/>
  <c r="BR66" i="1" s="1"/>
  <c r="BP65" i="1"/>
  <c r="BP66" i="1" s="1"/>
  <c r="G18" i="2"/>
  <c r="BE69" i="1"/>
  <c r="AI73" i="1" s="1"/>
  <c r="BC69" i="1"/>
  <c r="AY69" i="1"/>
  <c r="BA69" i="1"/>
  <c r="J21" i="1"/>
  <c r="L21" i="1" s="1"/>
  <c r="BI100" i="1" a="1"/>
  <c r="BI100" i="1" s="1"/>
  <c r="Q110" i="1"/>
  <c r="N77" i="2"/>
  <c r="A25" i="1"/>
  <c r="BP89" i="1"/>
  <c r="BR89" i="1"/>
  <c r="A26" i="1"/>
  <c r="BM99" i="1" l="1"/>
  <c r="L134" i="1" s="1"/>
  <c r="BR67" i="1"/>
  <c r="BR68" i="1" s="1"/>
  <c r="BR69" i="1" s="1"/>
  <c r="BR70" i="1" s="1"/>
  <c r="BP67" i="1"/>
  <c r="BP68" i="1" s="1"/>
  <c r="BP69" i="1" s="1"/>
  <c r="BP70" i="1" s="1"/>
  <c r="BP71" i="1" s="1"/>
  <c r="AI74" i="1"/>
  <c r="BR85" i="1"/>
  <c r="BP85" i="1"/>
  <c r="Q77" i="2"/>
  <c r="Q26" i="1"/>
  <c r="O26" i="1"/>
  <c r="BR71" i="1" l="1"/>
  <c r="BR74" i="1" s="1"/>
  <c r="BP72" i="1" s="1"/>
  <c r="H77" i="2"/>
  <c r="G12" i="2" s="1"/>
  <c r="I92" i="2"/>
  <c r="L101" i="1"/>
  <c r="H110" i="1"/>
  <c r="BP74" i="1" l="1"/>
  <c r="BR77" i="1"/>
  <c r="BR82" i="1" s="1"/>
  <c r="A45" i="1"/>
  <c r="A28" i="2"/>
  <c r="BR72" i="1"/>
  <c r="H68" i="2"/>
  <c r="L10" i="2" s="1"/>
  <c r="J15" i="1"/>
  <c r="L15" i="1"/>
  <c r="H101" i="1"/>
  <c r="BR87" i="1" l="1"/>
  <c r="BR90" i="1" s="1"/>
  <c r="L14" i="2"/>
  <c r="L18" i="2"/>
  <c r="M39" i="1"/>
  <c r="U39" i="1"/>
  <c r="AC39" i="1"/>
  <c r="O39" i="1"/>
  <c r="W1" i="1"/>
  <c r="W39" i="1"/>
  <c r="AE39" i="1"/>
  <c r="AA4" i="1"/>
  <c r="M9" i="2" l="1"/>
  <c r="M14" i="2" s="1"/>
  <c r="BP87" i="1"/>
  <c r="BP90" i="1" s="1"/>
  <c r="BP92" i="1" s="1"/>
  <c r="BR92" i="1" s="1"/>
  <c r="AA8" i="1"/>
  <c r="AA12" i="1"/>
  <c r="M18" i="2" l="1"/>
  <c r="N18" i="2" s="1"/>
  <c r="M10" i="2"/>
  <c r="S39" i="1"/>
  <c r="Q39" i="1"/>
  <c r="Y39" i="1"/>
  <c r="AA39" i="1"/>
  <c r="BP77" i="1"/>
  <c r="AD3" i="1"/>
  <c r="AD4" i="1" s="1"/>
  <c r="H17" i="2"/>
  <c r="M13" i="2"/>
  <c r="H13" i="2"/>
  <c r="H9" i="2"/>
  <c r="H14" i="2"/>
  <c r="H19" i="2"/>
  <c r="L9" i="2"/>
  <c r="H18" i="2"/>
  <c r="M17" i="2"/>
  <c r="N17" i="2" s="1"/>
  <c r="H10" i="2"/>
  <c r="BP82" i="1" l="1"/>
  <c r="AD15" i="1"/>
  <c r="AD12" i="1"/>
  <c r="AD8" i="1"/>
  <c r="W4" i="1"/>
  <c r="W12" i="1"/>
  <c r="W13" i="1"/>
  <c r="AD11" i="1"/>
  <c r="AF11" i="1" s="1"/>
  <c r="W3" i="1"/>
  <c r="W8" i="1"/>
  <c r="W7" i="1"/>
  <c r="AD7" i="1"/>
  <c r="W11" i="1"/>
  <c r="AA3" i="1"/>
  <c r="L13" i="2"/>
  <c r="L17" i="2"/>
  <c r="X24" i="1" l="1"/>
  <c r="W24" i="1" s="1"/>
  <c r="AF15" i="1"/>
  <c r="W23" i="1"/>
  <c r="AD25" i="1"/>
  <c r="AF25" i="1" s="1"/>
  <c r="AD16" i="1"/>
  <c r="AD20" i="1" s="1"/>
  <c r="AF20" i="1" s="1"/>
  <c r="W19" i="1"/>
  <c r="X25" i="1"/>
  <c r="W25" i="1" s="1"/>
  <c r="AD19" i="1"/>
  <c r="AF19" i="1" s="1"/>
  <c r="W15" i="1"/>
  <c r="AD24" i="1"/>
  <c r="AF24" i="1" s="1"/>
  <c r="W16" i="1"/>
  <c r="AF12" i="1"/>
  <c r="AA15" i="1"/>
  <c r="AA7" i="1"/>
  <c r="AA11" i="1"/>
  <c r="AF16" i="1" l="1"/>
  <c r="AA19" i="1"/>
  <c r="AA16" i="1"/>
  <c r="AA2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<sst xmlns="http://schemas.openxmlformats.org/spreadsheetml/2006/main" count="586" uniqueCount="382">
  <si>
    <t>Easywave</t>
  </si>
  <si>
    <t>L</t>
  </si>
  <si>
    <t>MRS</t>
  </si>
  <si>
    <t xml:space="preserve"> </t>
  </si>
  <si>
    <t>Easyflex</t>
  </si>
  <si>
    <t>FES-wave</t>
  </si>
  <si>
    <t>5,4 cm (100%)</t>
  </si>
  <si>
    <t>6 cm (80%)</t>
  </si>
  <si>
    <t>8 cm (60%)</t>
  </si>
  <si>
    <t>One-way draw &lt;&gt;</t>
  </si>
  <si>
    <t xml:space="preserve">Center closing   = </t>
  </si>
  <si>
    <t>One-way draw</t>
  </si>
  <si>
    <t>Center closing</t>
  </si>
  <si>
    <t>CCS</t>
  </si>
  <si>
    <t>-</t>
  </si>
  <si>
    <t>lengte voorloper</t>
  </si>
  <si>
    <t>voorloper</t>
  </si>
  <si>
    <t>Distance between</t>
  </si>
  <si>
    <t xml:space="preserve"> hooks in cm*    = </t>
  </si>
  <si>
    <t>- No rights can be derived from this calculation tool.</t>
  </si>
  <si>
    <t>Lengte te kort</t>
  </si>
  <si>
    <t>gesloten</t>
  </si>
  <si>
    <t>open</t>
  </si>
  <si>
    <t>Motor side</t>
  </si>
  <si>
    <t>Return side</t>
  </si>
  <si>
    <t>Left side</t>
  </si>
  <si>
    <t>Right side</t>
  </si>
  <si>
    <t>Motor / handbediend / koord</t>
  </si>
  <si>
    <t>Control side</t>
  </si>
  <si>
    <t>- Product tolerances are calculated in the final results.</t>
  </si>
  <si>
    <t>FMS Dual</t>
  </si>
  <si>
    <t>V</t>
  </si>
  <si>
    <t>KS</t>
  </si>
  <si>
    <t>DS</t>
  </si>
  <si>
    <t>FMS (Shuttle)</t>
  </si>
  <si>
    <t>FMS Plus</t>
  </si>
  <si>
    <t>CS</t>
  </si>
  <si>
    <t>DS-XL</t>
  </si>
  <si>
    <t>DS-XL LED</t>
  </si>
  <si>
    <t>A</t>
  </si>
  <si>
    <t>B</t>
  </si>
  <si>
    <t>C</t>
  </si>
  <si>
    <t>E</t>
  </si>
  <si>
    <t>G</t>
  </si>
  <si>
    <t>Start koord</t>
  </si>
  <si>
    <t>Staal</t>
  </si>
  <si>
    <t>Kunststof</t>
  </si>
  <si>
    <t>Waarden van geslecteerde rail</t>
  </si>
  <si>
    <t>Rail nummer geselecteerd</t>
  </si>
  <si>
    <t>Pull down menu's</t>
  </si>
  <si>
    <t>Juiste verwoording</t>
  </si>
  <si>
    <t>Steel</t>
  </si>
  <si>
    <t>Plastic</t>
  </si>
  <si>
    <t>MRS Universal</t>
  </si>
  <si>
    <t>ENKEL PAKKET</t>
  </si>
  <si>
    <t>DUBBEL PAKKET</t>
  </si>
  <si>
    <t>ALLE MATEN IN CM</t>
  </si>
  <si>
    <t>CS Recess</t>
  </si>
  <si>
    <t>KS Recess</t>
  </si>
  <si>
    <t>CRS Corded</t>
  </si>
  <si>
    <t>FMS Plus Recess</t>
  </si>
  <si>
    <t>DS-XL Motorised</t>
  </si>
  <si>
    <t>DS-XL Corded</t>
  </si>
  <si>
    <t>DS-XL LED Motorised</t>
  </si>
  <si>
    <t>Test incorrecte velden</t>
  </si>
  <si>
    <t>Systeem</t>
  </si>
  <si>
    <t>Band</t>
  </si>
  <si>
    <t>Dual lengte te kort</t>
  </si>
  <si>
    <t>Dual lengte te lang</t>
  </si>
  <si>
    <t>FMS Dual enkel pakket</t>
  </si>
  <si>
    <t>BLANCO VELD</t>
  </si>
  <si>
    <t>Off-set Assymtrisch gordijn</t>
  </si>
  <si>
    <t>Off-set te kort</t>
  </si>
  <si>
    <t>Asymmetrie</t>
  </si>
  <si>
    <t>Off-set te lang</t>
  </si>
  <si>
    <t>Kunststof voorloper</t>
  </si>
  <si>
    <t>Staal &amp; Geen voorloper</t>
  </si>
  <si>
    <t>Minimale lengte:</t>
  </si>
  <si>
    <t>Easywave Roller</t>
  </si>
  <si>
    <t>CRS 20</t>
  </si>
  <si>
    <t>CRS 28</t>
  </si>
  <si>
    <t>Off-set enkel pakket</t>
  </si>
  <si>
    <t>verkeerde glijder</t>
  </si>
  <si>
    <t>** Includes carriers that are placed inside master carriers.</t>
  </si>
  <si>
    <t>Lengte totale rail</t>
  </si>
  <si>
    <t>+ 1</t>
  </si>
  <si>
    <t>Taal:</t>
  </si>
  <si>
    <t>Nederlands</t>
  </si>
  <si>
    <t>English</t>
  </si>
  <si>
    <t>Master type:</t>
  </si>
  <si>
    <t>Asymmetrical</t>
  </si>
  <si>
    <t>Can't be empty</t>
  </si>
  <si>
    <t>Value is too high</t>
  </si>
  <si>
    <t>Value is too low</t>
  </si>
  <si>
    <t>Option not possible</t>
  </si>
  <si>
    <t>Does not exist</t>
  </si>
  <si>
    <t>Number of hooks</t>
  </si>
  <si>
    <t xml:space="preserve"> in curtain needed</t>
  </si>
  <si>
    <t>Number of</t>
  </si>
  <si>
    <t>carriers needed**</t>
  </si>
  <si>
    <t>Curtain stacking</t>
  </si>
  <si>
    <t>in open position</t>
  </si>
  <si>
    <t>(minimal)</t>
  </si>
  <si>
    <t>Total tape length</t>
  </si>
  <si>
    <t>required</t>
  </si>
  <si>
    <t>Curtain fullness</t>
  </si>
  <si>
    <t>In closed position</t>
  </si>
  <si>
    <t>With open position</t>
  </si>
  <si>
    <t>Duits</t>
  </si>
  <si>
    <t>Frans</t>
  </si>
  <si>
    <t>Language</t>
  </si>
  <si>
    <t>Language:</t>
  </si>
  <si>
    <t>Description Right 2</t>
  </si>
  <si>
    <t>Pull-down menu</t>
  </si>
  <si>
    <t>References</t>
  </si>
  <si>
    <t>Language name</t>
  </si>
  <si>
    <t>Description Left</t>
  </si>
  <si>
    <t>Notifications</t>
  </si>
  <si>
    <t>Description Right</t>
  </si>
  <si>
    <t>Choosen language</t>
  </si>
  <si>
    <t>FMS Plus Inbouw</t>
  </si>
  <si>
    <t>CRS Gekoord</t>
  </si>
  <si>
    <t>KS Inbouw</t>
  </si>
  <si>
    <t>DS-XL Gemotoriseerd</t>
  </si>
  <si>
    <t>DS-XL Gekoord</t>
  </si>
  <si>
    <t>DS-XL LED Gemotoriseerd</t>
  </si>
  <si>
    <t>MRS Universeel</t>
  </si>
  <si>
    <t>CS Inbouw</t>
  </si>
  <si>
    <t>Enkelpakket &lt;&gt;</t>
  </si>
  <si>
    <t>A-symmetrisch</t>
  </si>
  <si>
    <t>Afstand tussen</t>
  </si>
  <si>
    <t>Mag niet leeg zijn</t>
  </si>
  <si>
    <t>Waarde te hoog</t>
  </si>
  <si>
    <t>Waarde te laag</t>
  </si>
  <si>
    <t>Mag geen tekst zijn</t>
  </si>
  <si>
    <t>Optie niet mogelijk</t>
  </si>
  <si>
    <t>Bestaat niet</t>
  </si>
  <si>
    <t>Aantal haken</t>
  </si>
  <si>
    <t>nodig in gordijn</t>
  </si>
  <si>
    <t>Aantal glijders</t>
  </si>
  <si>
    <t xml:space="preserve">nodig** </t>
  </si>
  <si>
    <t>in open positie</t>
  </si>
  <si>
    <t>(minimaal)</t>
  </si>
  <si>
    <t>Breedte gordijn</t>
  </si>
  <si>
    <t>Gordijn fullness</t>
  </si>
  <si>
    <t>In gesloten positie</t>
  </si>
  <si>
    <t>In open positie</t>
  </si>
  <si>
    <t>Middensluitend</t>
  </si>
  <si>
    <t>Enkelpakket</t>
  </si>
  <si>
    <t>Motorzijde</t>
  </si>
  <si>
    <t>Retourzijde</t>
  </si>
  <si>
    <t>Linkerzijde</t>
  </si>
  <si>
    <t>Rechterzijde</t>
  </si>
  <si>
    <t>Bedieningszijde</t>
  </si>
  <si>
    <t>- Product tolerancies meegenomen in uiteindelijke resultaat.</t>
  </si>
  <si>
    <t>*** Always measured from the left side, only for hand operated curtains.</t>
  </si>
  <si>
    <t>Track names</t>
  </si>
  <si>
    <t>- Aan dit rekenschema kunnen geen rechten worden ontleend.</t>
  </si>
  <si>
    <t>Wrong language</t>
  </si>
  <si>
    <t>Verkeerde taal</t>
  </si>
  <si>
    <t>Lengte te lang</t>
  </si>
  <si>
    <t>Maximale lengte:</t>
  </si>
  <si>
    <t>cm</t>
  </si>
  <si>
    <t xml:space="preserve">haken in cm*   = </t>
  </si>
  <si>
    <t xml:space="preserve">gordijn in cm***= </t>
  </si>
  <si>
    <t xml:space="preserve">Middensluitend  = </t>
  </si>
  <si>
    <t xml:space="preserve">    Total depth of the curtain:</t>
  </si>
  <si>
    <t xml:space="preserve">    Totale diepte band</t>
  </si>
  <si>
    <t>Totale lengte</t>
  </si>
  <si>
    <t>band nodig</t>
  </si>
  <si>
    <t>** Inclusief glijders dat in voorlopers worden geplaatst.</t>
  </si>
  <si>
    <t>*** Altijd gemeten vanuit de linkerzijde, alleen voor handbediende rails.</t>
  </si>
  <si>
    <t>* In combinatie met 'Easyflex hook fitter 9900000017'.</t>
  </si>
  <si>
    <t>*  In combination with 'Easyflex hook fitter 9900000017'.</t>
  </si>
  <si>
    <t>Distance overlap</t>
  </si>
  <si>
    <t xml:space="preserve">in cm           = </t>
  </si>
  <si>
    <t>Afstand overlap</t>
  </si>
  <si>
    <t>CRS Rectangular 45</t>
  </si>
  <si>
    <t>CRS Square 30</t>
  </si>
  <si>
    <t>2 1/8" (100%)</t>
  </si>
  <si>
    <t>2 3/8" (80%)</t>
  </si>
  <si>
    <t>2 5/8" (60%)</t>
  </si>
  <si>
    <t>1/8"</t>
  </si>
  <si>
    <t>2/8"</t>
  </si>
  <si>
    <t>3/8"</t>
  </si>
  <si>
    <t>4/8"</t>
  </si>
  <si>
    <t>5/8"</t>
  </si>
  <si>
    <t>6/8"</t>
  </si>
  <si>
    <t>7/8"</t>
  </si>
  <si>
    <t>cm / inches:</t>
  </si>
  <si>
    <t>inches</t>
  </si>
  <si>
    <t>No Language selected</t>
  </si>
  <si>
    <t>Inches</t>
  </si>
  <si>
    <t xml:space="preserve"> hooks in pockets* = </t>
  </si>
  <si>
    <t xml:space="preserve">haken in pockets* = </t>
  </si>
  <si>
    <t>inch to cm</t>
  </si>
  <si>
    <t>fraction</t>
  </si>
  <si>
    <t>Total</t>
  </si>
  <si>
    <t>Te gebruiken lengte</t>
  </si>
  <si>
    <t>&gt;&gt; Asymmetrical curtain &lt;&lt;</t>
  </si>
  <si>
    <t>&gt;&gt; Asymmetrisch gordijn &lt;&lt;</t>
  </si>
  <si>
    <t>inches heeft komma</t>
  </si>
  <si>
    <t>Meldingen</t>
  </si>
  <si>
    <t>Waarden worden bij elkaar opgeteld</t>
  </si>
  <si>
    <t>Values ​​are added together</t>
  </si>
  <si>
    <t>Pulldownmenu</t>
  </si>
  <si>
    <t>Ingevulde waarden</t>
  </si>
  <si>
    <t>Type rail</t>
  </si>
  <si>
    <t>Lengte rail</t>
  </si>
  <si>
    <t>Type glijder</t>
  </si>
  <si>
    <t>Afstand</t>
  </si>
  <si>
    <t>Pakket</t>
  </si>
  <si>
    <t>Voorloper</t>
  </si>
  <si>
    <t>Overlap dual</t>
  </si>
  <si>
    <t>Assymmetrie</t>
  </si>
  <si>
    <t>Maten haken</t>
  </si>
  <si>
    <t>Lengte wavekoord</t>
  </si>
  <si>
    <t>Offset</t>
  </si>
  <si>
    <t>Even / Oneven</t>
  </si>
  <si>
    <t>Totaal glijders in rail</t>
  </si>
  <si>
    <t>Totaal wave haken</t>
  </si>
  <si>
    <t>Totale lengte band</t>
  </si>
  <si>
    <t>Dikte gordijn pakket</t>
  </si>
  <si>
    <t>Vierkante wave glijder</t>
  </si>
  <si>
    <t>Easyflex wave glijder</t>
  </si>
  <si>
    <t>lengte motorpoelie</t>
  </si>
  <si>
    <t>breedte alle glijders</t>
  </si>
  <si>
    <t>/ lengte wavekoord</t>
  </si>
  <si>
    <t>Afronden naar boven</t>
  </si>
  <si>
    <t>Breedte glijder</t>
  </si>
  <si>
    <t>Lengte loopvlak</t>
  </si>
  <si>
    <t>Mobile version</t>
  </si>
  <si>
    <t>Mobile</t>
  </si>
  <si>
    <t>Mobiel</t>
  </si>
  <si>
    <t>Track type</t>
  </si>
  <si>
    <t>Track size</t>
  </si>
  <si>
    <t>in cm</t>
  </si>
  <si>
    <t>Carrier</t>
  </si>
  <si>
    <t>Glijder</t>
  </si>
  <si>
    <t>Distance</t>
  </si>
  <si>
    <t>afstand</t>
  </si>
  <si>
    <t>Type voorloper:</t>
  </si>
  <si>
    <t>carriers needed*</t>
  </si>
  <si>
    <t>nodig*</t>
  </si>
  <si>
    <t>M</t>
  </si>
  <si>
    <t>R</t>
  </si>
  <si>
    <t>Naam rail</t>
  </si>
  <si>
    <t>Can't be text</t>
  </si>
  <si>
    <t>breedte eindstop</t>
  </si>
  <si>
    <t>motor verschuiving</t>
  </si>
  <si>
    <t>Dikte pakket</t>
  </si>
  <si>
    <t>Breedte eindstop</t>
  </si>
  <si>
    <t>Eindstop universeel</t>
  </si>
  <si>
    <t>CRS eindstop</t>
  </si>
  <si>
    <t>DS-XL eindstop</t>
  </si>
  <si>
    <t>Geen eindstop</t>
  </si>
  <si>
    <t>Verstelbare eindstop</t>
  </si>
  <si>
    <t>Gesorteerde Lijst</t>
  </si>
  <si>
    <t>Lijst niet gebruiken</t>
  </si>
  <si>
    <t>Easyflex voorloper 90gr</t>
  </si>
  <si>
    <t>Verstelbare voorloper</t>
  </si>
  <si>
    <t>FMS plus voorloper kort (dubbel)</t>
  </si>
  <si>
    <t>FMS plus voorloper lang (enkel)</t>
  </si>
  <si>
    <t>Geen voorloper = alleen glijder</t>
  </si>
  <si>
    <t xml:space="preserve">FMS Dual master set </t>
  </si>
  <si>
    <t>start koord vanuit voorkant voorloper</t>
  </si>
  <si>
    <t>Totale lengte met arm</t>
  </si>
  <si>
    <t>lengte karretje dat door het loopvlak gaat</t>
  </si>
  <si>
    <t>Geen a-sym mogelijk</t>
  </si>
  <si>
    <t>Glijders</t>
  </si>
  <si>
    <t>Type eindstop</t>
  </si>
  <si>
    <t>Geen voorloper</t>
  </si>
  <si>
    <t>FMS plus</t>
  </si>
  <si>
    <t>FMS/MRS/DSXL motor</t>
  </si>
  <si>
    <t>Type Voorloper</t>
  </si>
  <si>
    <t>CCS/CRS gekoord</t>
  </si>
  <si>
    <t>Maten Voorloper</t>
  </si>
  <si>
    <t>Easywave roller</t>
  </si>
  <si>
    <t>Pulldownmenu glijders</t>
  </si>
  <si>
    <t>Benaming glijders</t>
  </si>
  <si>
    <t>Gesorteerde lijst glijders</t>
  </si>
  <si>
    <t>Excel versie fout</t>
  </si>
  <si>
    <t>Pulldownmenu rails</t>
  </si>
  <si>
    <t>Motor</t>
  </si>
  <si>
    <t>Retour</t>
  </si>
  <si>
    <t>! The user interface is not working optimally; please use Microsoft Excel 2021 or later.</t>
  </si>
  <si>
    <t>! De gebruikersinterface werkt niet optimaal; gebruik Microsoft Excel 2021 of later.</t>
  </si>
  <si>
    <t>fms voorloper/middensluitend</t>
  </si>
  <si>
    <t>Afbeelding type</t>
  </si>
  <si>
    <t>Verschuiving naar Rail</t>
  </si>
  <si>
    <t>Verschuiving in Rail type</t>
  </si>
  <si>
    <t>Verschuiving Rail afbeeldingen</t>
  </si>
  <si>
    <t>Motorpoelie</t>
  </si>
  <si>
    <t>Retourpoelie</t>
  </si>
  <si>
    <t>Extra haken nodig aan voorloper</t>
  </si>
  <si>
    <t>Totale lengte poelie</t>
  </si>
  <si>
    <t>Zaagmaat</t>
  </si>
  <si>
    <t>Extra haken nodig bij de poelie</t>
  </si>
  <si>
    <t>ten koste van glijder</t>
  </si>
  <si>
    <t>Wel(1) / Niet(0) keuze voorloper</t>
  </si>
  <si>
    <t>Keuze</t>
  </si>
  <si>
    <t>Type retourpoelie</t>
  </si>
  <si>
    <t>Gelijk aan motor</t>
  </si>
  <si>
    <t>FMS retour rond</t>
  </si>
  <si>
    <t>FMS retour vierkant</t>
  </si>
  <si>
    <t>CCS retour lang</t>
  </si>
  <si>
    <t>CCS retour kort</t>
  </si>
  <si>
    <t>Even / oneven</t>
  </si>
  <si>
    <t>Retourkant</t>
  </si>
  <si>
    <t>Motorkant</t>
  </si>
  <si>
    <t>fms</t>
  </si>
  <si>
    <t>fms+</t>
  </si>
  <si>
    <t>ccs</t>
  </si>
  <si>
    <t>dsxl motor</t>
  </si>
  <si>
    <t>fms dual</t>
  </si>
  <si>
    <t>mrs uni</t>
  </si>
  <si>
    <t>DSXL-motor retour</t>
  </si>
  <si>
    <t>FMS plus retour open</t>
  </si>
  <si>
    <t>FMS dual retour</t>
  </si>
  <si>
    <t>MRS retour universeel</t>
  </si>
  <si>
    <t>Test type glijder</t>
  </si>
  <si>
    <t>5,4cm</t>
  </si>
  <si>
    <t>6cm</t>
  </si>
  <si>
    <t>8cm</t>
  </si>
  <si>
    <t>verkeerde afstand</t>
  </si>
  <si>
    <t>Test afstand</t>
  </si>
  <si>
    <t>Retour leidend</t>
  </si>
  <si>
    <t>ja(1) / nee(0)</t>
  </si>
  <si>
    <t>Gelijk aan Motorkant</t>
  </si>
  <si>
    <t>Verkeerde haken</t>
  </si>
  <si>
    <t xml:space="preserve">Lengte rail in cm   = </t>
  </si>
  <si>
    <t xml:space="preserve">Master type     = </t>
  </si>
  <si>
    <t xml:space="preserve">Track type       = </t>
  </si>
  <si>
    <t xml:space="preserve">Track size in cm   = </t>
  </si>
  <si>
    <t xml:space="preserve">Type of Carrier    = </t>
  </si>
  <si>
    <t xml:space="preserve">Carrier distance   = </t>
  </si>
  <si>
    <t xml:space="preserve">Type rail         = </t>
  </si>
  <si>
    <t xml:space="preserve">Type Glijder      = </t>
  </si>
  <si>
    <t xml:space="preserve">Glijder afstand    = </t>
  </si>
  <si>
    <t xml:space="preserve">Type voorloper   = </t>
  </si>
  <si>
    <t>Gesorteerde lijst glijdermaat</t>
  </si>
  <si>
    <t>Benaming glijdermaat</t>
  </si>
  <si>
    <t>Pulldownmenu glijdermaat</t>
  </si>
  <si>
    <t xml:space="preserve">Lengte rail in inches = </t>
  </si>
  <si>
    <t xml:space="preserve">Track size in inches = </t>
  </si>
  <si>
    <t>Off-set is exact helft</t>
  </si>
  <si>
    <t xml:space="preserve">curtain in cm***= </t>
  </si>
  <si>
    <t>* Includes carriers that are placed inside master carriers.</t>
  </si>
  <si>
    <t>* Inclusief glijders dat in voorlopers worden geplaatst.</t>
  </si>
  <si>
    <t>type</t>
  </si>
  <si>
    <t>lengte</t>
  </si>
  <si>
    <t>glijder</t>
  </si>
  <si>
    <t>pakket</t>
  </si>
  <si>
    <t>dual</t>
  </si>
  <si>
    <t>haken</t>
  </si>
  <si>
    <t>offset</t>
  </si>
  <si>
    <t>overig</t>
  </si>
  <si>
    <t>Blanco invulveld</t>
  </si>
  <si>
    <t>Veld heeft tekst</t>
  </si>
  <si>
    <t>Blanco invulveld of "-"</t>
  </si>
  <si>
    <t>TEST taal gevonden</t>
  </si>
  <si>
    <t>Minimale offset:</t>
  </si>
  <si>
    <t>Maximale offset:</t>
  </si>
  <si>
    <t>mobiel</t>
  </si>
  <si>
    <t xml:space="preserve">Rail type </t>
  </si>
  <si>
    <t>FES mobile</t>
  </si>
  <si>
    <t>FES</t>
  </si>
  <si>
    <t>Inputs</t>
  </si>
  <si>
    <t>Actief blad</t>
  </si>
  <si>
    <t>Rail lengte</t>
  </si>
  <si>
    <t>Lengte glijder</t>
  </si>
  <si>
    <t>Pakket zijde</t>
  </si>
  <si>
    <t>Dual offset</t>
  </si>
  <si>
    <t>Asym offset</t>
  </si>
  <si>
    <t>Haken afstand</t>
  </si>
  <si>
    <t>Forest FES-Wave</t>
  </si>
  <si>
    <t>Forest FES-Wave Mobile</t>
  </si>
  <si>
    <t>Deutch</t>
  </si>
  <si>
    <t>Français</t>
  </si>
  <si>
    <t>Type of</t>
  </si>
  <si>
    <t>Type</t>
  </si>
  <si>
    <t>V2.6.3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</si>
</sst>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00"/>
    <numFmt numFmtId="165" formatCode="0.0000"/>
  </numFmts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36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13"/>
      <name val="Syntax LT Std Black"/>
      <family val="2"/>
    </font>
    <font>
      <sz val="11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28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sz val="24"/>
      <name val="Calibri"/>
      <family val="2"/>
      <scheme val="minor"/>
    </font>
    <font>
      <i/>
      <sz val="8"/>
      <name val="Calibri"/>
      <family val="2"/>
      <scheme val="minor"/>
    </font>
    <font>
      <sz val="2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auto="1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01">
    <xf numFmtId="0" fontId="0" fillId="0" borderId="0" xfId="0"/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0" fontId="0" fillId="3" borderId="0" xfId="0" applyFill="1" applyProtection="1">
      <protection hidden="1"/>
    </xf>
    <xf numFmtId="0" fontId="1" fillId="0" borderId="0" xfId="0" applyFont="1" applyProtection="1">
      <protection hidden="1"/>
    </xf>
    <xf numFmtId="0" fontId="1" fillId="0" borderId="12" xfId="0" applyFont="1" applyBorder="1" applyProtection="1">
      <protection hidden="1"/>
    </xf>
    <xf numFmtId="0" fontId="1" fillId="0" borderId="9" xfId="0" applyFont="1" applyBorder="1" applyProtection="1">
      <protection hidden="1"/>
    </xf>
    <xf numFmtId="0" fontId="1" fillId="0" borderId="7" xfId="0" applyFont="1" applyBorder="1" applyProtection="1">
      <protection hidden="1"/>
    </xf>
    <xf numFmtId="0" fontId="1" fillId="0" borderId="1" xfId="0" applyFont="1" applyBorder="1" applyProtection="1">
      <protection hidden="1"/>
    </xf>
    <xf numFmtId="0" fontId="1" fillId="0" borderId="6" xfId="0" applyFont="1" applyBorder="1" applyProtection="1">
      <protection hidden="1"/>
    </xf>
    <xf numFmtId="0" fontId="1" fillId="0" borderId="0" xfId="0" quotePrefix="1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1" fillId="0" borderId="3" xfId="0" applyFon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13" xfId="0" applyFont="1" applyBorder="1" applyProtection="1">
      <protection hidden="1"/>
    </xf>
    <xf numFmtId="0" fontId="1" fillId="0" borderId="11" xfId="0" applyFont="1" applyBorder="1" applyProtection="1">
      <protection hidden="1"/>
    </xf>
    <xf numFmtId="0" fontId="0" fillId="0" borderId="9" xfId="0" applyBorder="1" applyProtection="1">
      <protection hidden="1"/>
    </xf>
    <xf numFmtId="0" fontId="0" fillId="0" borderId="13" xfId="0" applyBorder="1" applyProtection="1">
      <protection hidden="1"/>
    </xf>
    <xf numFmtId="0" fontId="1" fillId="0" borderId="24" xfId="0" applyFont="1" applyBorder="1" applyProtection="1">
      <protection hidden="1"/>
    </xf>
    <xf numFmtId="0" fontId="0" fillId="0" borderId="25" xfId="0" applyBorder="1" applyProtection="1">
      <protection hidden="1"/>
    </xf>
    <xf numFmtId="0" fontId="0" fillId="0" borderId="23" xfId="0" applyBorder="1" applyAlignment="1" applyProtection="1">
      <alignment horizontal="center"/>
      <protection hidden="1"/>
    </xf>
    <xf numFmtId="0" fontId="0" fillId="0" borderId="22" xfId="0" applyBorder="1" applyAlignment="1" applyProtection="1">
      <alignment horizontal="center"/>
      <protection hidden="1"/>
    </xf>
    <xf numFmtId="0" fontId="0" fillId="3" borderId="0" xfId="0" applyFill="1" applyAlignment="1" applyProtection="1">
      <alignment horizontal="right"/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1" fillId="0" borderId="0" xfId="0" quotePrefix="1" applyFont="1" applyAlignment="1" applyProtection="1">
      <alignment horizontal="left"/>
      <protection hidden="1"/>
    </xf>
    <xf numFmtId="0" fontId="0" fillId="0" borderId="6" xfId="0" applyBorder="1" applyProtection="1">
      <protection hidden="1"/>
    </xf>
    <xf numFmtId="0" fontId="0" fillId="0" borderId="12" xfId="0" applyBorder="1" applyProtection="1">
      <protection hidden="1"/>
    </xf>
    <xf numFmtId="0" fontId="0" fillId="0" borderId="10" xfId="0" applyBorder="1" applyProtection="1">
      <protection hidden="1"/>
    </xf>
    <xf numFmtId="164" fontId="1" fillId="0" borderId="0" xfId="0" applyNumberFormat="1" applyFont="1" applyProtection="1">
      <protection hidden="1"/>
    </xf>
    <xf numFmtId="0" fontId="1" fillId="0" borderId="23" xfId="0" applyFont="1" applyBorder="1" applyAlignment="1" applyProtection="1">
      <alignment horizontal="center"/>
      <protection hidden="1"/>
    </xf>
    <xf numFmtId="0" fontId="0" fillId="5" borderId="26" xfId="0" applyFill="1" applyBorder="1"/>
    <xf numFmtId="0" fontId="0" fillId="0" borderId="11" xfId="0" applyBorder="1" applyProtection="1">
      <protection hidden="1"/>
    </xf>
    <xf numFmtId="0" fontId="12" fillId="0" borderId="0" xfId="0" quotePrefix="1" applyFont="1" applyAlignment="1" applyProtection="1">
      <alignment horizontal="left"/>
      <protection hidden="1"/>
    </xf>
    <xf numFmtId="0" fontId="0" fillId="5" borderId="31" xfId="0" applyFill="1" applyBorder="1"/>
    <xf numFmtId="0" fontId="1" fillId="4" borderId="32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1" fillId="4" borderId="20" xfId="0" quotePrefix="1" applyFont="1" applyFill="1" applyBorder="1" applyAlignment="1" applyProtection="1">
      <alignment horizontal="center"/>
      <protection hidden="1"/>
    </xf>
    <xf numFmtId="0" fontId="1" fillId="5" borderId="7" xfId="0" applyFont="1" applyFill="1" applyBorder="1" applyProtection="1">
      <protection hidden="1"/>
    </xf>
    <xf numFmtId="0" fontId="1" fillId="5" borderId="7" xfId="0" applyFont="1" applyFill="1" applyBorder="1"/>
    <xf numFmtId="0" fontId="1" fillId="5" borderId="7" xfId="0" applyFont="1" applyFill="1" applyBorder="1" applyAlignment="1">
      <alignment horizontal="center"/>
    </xf>
    <xf numFmtId="0" fontId="1" fillId="0" borderId="0" xfId="0" applyFont="1" applyAlignment="1" applyProtection="1">
      <alignment horizontal="center"/>
      <protection hidden="1"/>
    </xf>
    <xf numFmtId="0" fontId="1" fillId="6" borderId="0" xfId="0" applyFont="1" applyFill="1" applyProtection="1">
      <protection hidden="1"/>
    </xf>
    <xf numFmtId="0" fontId="1" fillId="4" borderId="30" xfId="0" applyFont="1" applyFill="1" applyBorder="1" applyAlignment="1">
      <alignment horizontal="center"/>
    </xf>
    <xf numFmtId="0" fontId="1" fillId="5" borderId="26" xfId="0" quotePrefix="1" applyFont="1" applyFill="1" applyBorder="1" applyAlignment="1" applyProtection="1">
      <alignment horizontal="center" textRotation="90"/>
      <protection hidden="1"/>
    </xf>
    <xf numFmtId="0" fontId="1" fillId="5" borderId="12" xfId="0" applyFont="1" applyFill="1" applyBorder="1" applyProtection="1">
      <protection hidden="1"/>
    </xf>
    <xf numFmtId="0" fontId="1" fillId="5" borderId="10" xfId="0" quotePrefix="1" applyFont="1" applyFill="1" applyBorder="1" applyProtection="1">
      <protection hidden="1"/>
    </xf>
    <xf numFmtId="0" fontId="1" fillId="3" borderId="0" xfId="0" applyFont="1" applyFill="1" applyProtection="1">
      <protection hidden="1"/>
    </xf>
    <xf numFmtId="164" fontId="1" fillId="3" borderId="0" xfId="0" applyNumberFormat="1" applyFont="1" applyFill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5" fillId="0" borderId="0" xfId="0" quotePrefix="1" applyFont="1" applyProtection="1">
      <protection hidden="1"/>
    </xf>
    <xf numFmtId="164" fontId="0" fillId="0" borderId="0" xfId="0" applyNumberFormat="1" applyProtection="1">
      <protection hidden="1"/>
    </xf>
    <xf numFmtId="9" fontId="7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1" fillId="0" borderId="15" xfId="0" applyFont="1" applyBorder="1" applyProtection="1">
      <protection hidden="1"/>
    </xf>
    <xf numFmtId="0" fontId="1" fillId="0" borderId="16" xfId="0" applyFont="1" applyBorder="1" applyProtection="1">
      <protection hidden="1"/>
    </xf>
    <xf numFmtId="0" fontId="1" fillId="0" borderId="34" xfId="0" applyFont="1" applyBorder="1" applyProtection="1">
      <protection hidden="1"/>
    </xf>
    <xf numFmtId="0" fontId="1" fillId="0" borderId="14" xfId="0" applyFont="1" applyBorder="1" applyProtection="1">
      <protection hidden="1"/>
    </xf>
    <xf numFmtId="0" fontId="1" fillId="0" borderId="8" xfId="0" applyFont="1" applyBorder="1" applyProtection="1">
      <protection hidden="1"/>
    </xf>
    <xf numFmtId="0" fontId="1" fillId="0" borderId="33" xfId="0" applyFont="1" applyBorder="1" applyProtection="1">
      <protection hidden="1"/>
    </xf>
    <xf numFmtId="0" fontId="1" fillId="0" borderId="36" xfId="0" applyFont="1" applyBorder="1" applyProtection="1">
      <protection hidden="1"/>
    </xf>
    <xf numFmtId="0" fontId="1" fillId="0" borderId="37" xfId="0" applyFont="1" applyBorder="1" applyProtection="1">
      <protection hidden="1"/>
    </xf>
    <xf numFmtId="0" fontId="1" fillId="0" borderId="9" xfId="0" quotePrefix="1" applyFont="1" applyBorder="1" applyProtection="1">
      <protection hidden="1"/>
    </xf>
    <xf numFmtId="0" fontId="1" fillId="0" borderId="14" xfId="0" quotePrefix="1" applyFont="1" applyBorder="1" applyProtection="1">
      <protection hidden="1"/>
    </xf>
    <xf numFmtId="0" fontId="1" fillId="0" borderId="39" xfId="0" applyFont="1" applyBorder="1" applyProtection="1">
      <protection hidden="1"/>
    </xf>
    <xf numFmtId="0" fontId="1" fillId="0" borderId="40" xfId="0" applyFont="1" applyBorder="1" applyProtection="1">
      <protection hidden="1"/>
    </xf>
    <xf numFmtId="0" fontId="1" fillId="0" borderId="41" xfId="0" applyFont="1" applyBorder="1" applyProtection="1">
      <protection hidden="1"/>
    </xf>
    <xf numFmtId="0" fontId="1" fillId="0" borderId="42" xfId="0" applyFont="1" applyBorder="1" applyProtection="1">
      <protection hidden="1"/>
    </xf>
    <xf numFmtId="0" fontId="1" fillId="0" borderId="43" xfId="0" applyFont="1" applyBorder="1" applyProtection="1">
      <protection hidden="1"/>
    </xf>
    <xf numFmtId="0" fontId="1" fillId="0" borderId="44" xfId="0" applyFont="1" applyBorder="1" applyProtection="1">
      <protection hidden="1"/>
    </xf>
    <xf numFmtId="0" fontId="0" fillId="0" borderId="9" xfId="0" applyBorder="1"/>
    <xf numFmtId="0" fontId="1" fillId="0" borderId="48" xfId="0" applyFont="1" applyBorder="1" applyProtection="1">
      <protection hidden="1"/>
    </xf>
    <xf numFmtId="0" fontId="1" fillId="0" borderId="49" xfId="0" applyFont="1" applyBorder="1" applyProtection="1">
      <protection hidden="1"/>
    </xf>
    <xf numFmtId="0" fontId="1" fillId="2" borderId="20" xfId="0" applyFont="1" applyFill="1" applyBorder="1" applyAlignment="1" applyProtection="1">
      <alignment horizontal="center"/>
      <protection hidden="1"/>
    </xf>
    <xf numFmtId="0" fontId="1" fillId="5" borderId="45" xfId="0" applyFont="1" applyFill="1" applyBorder="1" applyProtection="1">
      <protection hidden="1"/>
    </xf>
    <xf numFmtId="0" fontId="1" fillId="5" borderId="23" xfId="0" applyFont="1" applyFill="1" applyBorder="1" applyProtection="1">
      <protection hidden="1"/>
    </xf>
    <xf numFmtId="0" fontId="1" fillId="5" borderId="46" xfId="0" applyFont="1" applyFill="1" applyBorder="1" applyProtection="1">
      <protection hidden="1"/>
    </xf>
    <xf numFmtId="0" fontId="1" fillId="5" borderId="47" xfId="0" applyFont="1" applyFill="1" applyBorder="1" applyProtection="1">
      <protection hidden="1"/>
    </xf>
    <xf numFmtId="0" fontId="1" fillId="5" borderId="35" xfId="0" applyFont="1" applyFill="1" applyBorder="1" applyProtection="1">
      <protection hidden="1"/>
    </xf>
    <xf numFmtId="0" fontId="0" fillId="5" borderId="23" xfId="0" applyFill="1" applyBorder="1"/>
    <xf numFmtId="0" fontId="1" fillId="5" borderId="18" xfId="0" applyFont="1" applyFill="1" applyBorder="1" applyAlignment="1" applyProtection="1">
      <alignment horizontal="center"/>
      <protection hidden="1"/>
    </xf>
    <xf numFmtId="0" fontId="1" fillId="5" borderId="17" xfId="0" applyFont="1" applyFill="1" applyBorder="1" applyAlignment="1" applyProtection="1">
      <alignment horizontal="center"/>
      <protection hidden="1"/>
    </xf>
    <xf numFmtId="0" fontId="1" fillId="5" borderId="19" xfId="0" applyFont="1" applyFill="1" applyBorder="1" applyAlignment="1" applyProtection="1">
      <alignment horizontal="center"/>
      <protection hidden="1"/>
    </xf>
    <xf numFmtId="0" fontId="1" fillId="0" borderId="33" xfId="0" quotePrefix="1" applyFont="1" applyBorder="1" applyProtection="1">
      <protection hidden="1"/>
    </xf>
    <xf numFmtId="0" fontId="1" fillId="0" borderId="3" xfId="0" quotePrefix="1" applyFont="1" applyBorder="1" applyProtection="1">
      <protection hidden="1"/>
    </xf>
    <xf numFmtId="0" fontId="1" fillId="0" borderId="50" xfId="0" quotePrefix="1" applyFont="1" applyBorder="1" applyProtection="1">
      <protection hidden="1"/>
    </xf>
    <xf numFmtId="0" fontId="1" fillId="0" borderId="50" xfId="0" applyFont="1" applyBorder="1" applyProtection="1">
      <protection hidden="1"/>
    </xf>
    <xf numFmtId="0" fontId="1" fillId="5" borderId="3" xfId="0" quotePrefix="1" applyFont="1" applyFill="1" applyBorder="1" applyProtection="1">
      <protection hidden="1"/>
    </xf>
    <xf numFmtId="0" fontId="1" fillId="0" borderId="3" xfId="0" applyFont="1" applyBorder="1"/>
    <xf numFmtId="0" fontId="1" fillId="5" borderId="3" xfId="0" applyFont="1" applyFill="1" applyBorder="1" applyProtection="1">
      <protection hidden="1"/>
    </xf>
    <xf numFmtId="9" fontId="0" fillId="0" borderId="23" xfId="0" quotePrefix="1" applyNumberFormat="1" applyBorder="1" applyProtection="1">
      <protection hidden="1"/>
    </xf>
    <xf numFmtId="12" fontId="0" fillId="0" borderId="23" xfId="0" quotePrefix="1" applyNumberFormat="1" applyBorder="1" applyProtection="1">
      <protection hidden="1"/>
    </xf>
    <xf numFmtId="0" fontId="0" fillId="0" borderId="23" xfId="0" quotePrefix="1" applyBorder="1" applyProtection="1">
      <protection hidden="1"/>
    </xf>
    <xf numFmtId="0" fontId="0" fillId="0" borderId="22" xfId="0" quotePrefix="1" applyBorder="1" applyProtection="1">
      <protection hidden="1"/>
    </xf>
    <xf numFmtId="0" fontId="1" fillId="5" borderId="0" xfId="0" applyFont="1" applyFill="1" applyProtection="1">
      <protection hidden="1"/>
    </xf>
    <xf numFmtId="0" fontId="1" fillId="5" borderId="0" xfId="0" applyFont="1" applyFill="1" applyAlignment="1">
      <alignment horizontal="center"/>
    </xf>
    <xf numFmtId="0" fontId="1" fillId="5" borderId="0" xfId="0" quotePrefix="1" applyFont="1" applyFill="1" applyProtection="1">
      <protection hidden="1"/>
    </xf>
    <xf numFmtId="0" fontId="1" fillId="5" borderId="0" xfId="0" applyFont="1" applyFill="1"/>
    <xf numFmtId="0" fontId="1" fillId="5" borderId="1" xfId="0" applyFont="1" applyFill="1" applyBorder="1" applyAlignment="1">
      <alignment horizontal="center"/>
    </xf>
    <xf numFmtId="0" fontId="1" fillId="2" borderId="21" xfId="0" applyFont="1" applyFill="1" applyBorder="1" applyProtection="1">
      <protection hidden="1"/>
    </xf>
    <xf numFmtId="0" fontId="1" fillId="2" borderId="23" xfId="0" applyFont="1" applyFill="1" applyBorder="1" applyProtection="1">
      <protection hidden="1"/>
    </xf>
    <xf numFmtId="0" fontId="1" fillId="2" borderId="22" xfId="0" applyFont="1" applyFill="1" applyBorder="1" applyProtection="1">
      <protection hidden="1"/>
    </xf>
    <xf numFmtId="0" fontId="1" fillId="5" borderId="14" xfId="0" applyFont="1" applyFill="1" applyBorder="1" applyProtection="1">
      <protection hidden="1"/>
    </xf>
    <xf numFmtId="0" fontId="1" fillId="0" borderId="25" xfId="0" applyFont="1" applyBorder="1" applyProtection="1">
      <protection hidden="1"/>
    </xf>
    <xf numFmtId="165" fontId="1" fillId="0" borderId="0" xfId="0" quotePrefix="1" applyNumberFormat="1" applyFont="1" applyProtection="1">
      <protection hidden="1"/>
    </xf>
    <xf numFmtId="0" fontId="0" fillId="5" borderId="46" xfId="0" applyFill="1" applyBorder="1"/>
    <xf numFmtId="0" fontId="0" fillId="0" borderId="14" xfId="0" applyBorder="1"/>
    <xf numFmtId="0" fontId="1" fillId="3" borderId="0" xfId="0" applyFont="1" applyFill="1" applyAlignment="1" applyProtection="1">
      <alignment horizontal="left"/>
      <protection hidden="1"/>
    </xf>
    <xf numFmtId="9" fontId="0" fillId="0" borderId="21" xfId="0" quotePrefix="1" applyNumberFormat="1" applyBorder="1" applyProtection="1">
      <protection hidden="1"/>
    </xf>
    <xf numFmtId="0" fontId="1" fillId="5" borderId="12" xfId="0" quotePrefix="1" applyFont="1" applyFill="1" applyBorder="1" applyProtection="1">
      <protection hidden="1"/>
    </xf>
    <xf numFmtId="0" fontId="1" fillId="5" borderId="1" xfId="0" applyFont="1" applyFill="1" applyBorder="1" applyProtection="1">
      <protection hidden="1"/>
    </xf>
    <xf numFmtId="0" fontId="0" fillId="5" borderId="35" xfId="0" applyFill="1" applyBorder="1"/>
    <xf numFmtId="0" fontId="0" fillId="0" borderId="36" xfId="0" applyBorder="1"/>
    <xf numFmtId="0" fontId="1" fillId="0" borderId="52" xfId="0" applyFont="1" applyBorder="1" applyProtection="1"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1" fillId="3" borderId="11" xfId="0" applyFont="1" applyFill="1" applyBorder="1" applyProtection="1">
      <protection hidden="1"/>
    </xf>
    <xf numFmtId="0" fontId="1" fillId="3" borderId="12" xfId="0" applyFont="1" applyFill="1" applyBorder="1" applyProtection="1">
      <protection hidden="1"/>
    </xf>
    <xf numFmtId="0" fontId="1" fillId="3" borderId="12" xfId="0" applyFont="1" applyFill="1" applyBorder="1" applyAlignment="1" applyProtection="1">
      <alignment horizontal="right"/>
      <protection hidden="1"/>
    </xf>
    <xf numFmtId="0" fontId="1" fillId="3" borderId="10" xfId="0" applyFont="1" applyFill="1" applyBorder="1" applyProtection="1">
      <protection hidden="1"/>
    </xf>
    <xf numFmtId="0" fontId="1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center" vertical="center"/>
      <protection hidden="1"/>
    </xf>
    <xf numFmtId="0" fontId="1" fillId="3" borderId="7" xfId="0" applyFont="1" applyFill="1" applyBorder="1" applyProtection="1">
      <protection hidden="1"/>
    </xf>
    <xf numFmtId="0" fontId="1" fillId="3" borderId="9" xfId="0" applyFont="1" applyFill="1" applyBorder="1" applyProtection="1">
      <protection hidden="1"/>
    </xf>
    <xf numFmtId="0" fontId="13" fillId="3" borderId="0" xfId="0" applyFont="1" applyFill="1" applyAlignment="1" applyProtection="1">
      <alignment vertical="center"/>
      <protection hidden="1"/>
    </xf>
    <xf numFmtId="0" fontId="1" fillId="3" borderId="5" xfId="0" applyFont="1" applyFill="1" applyBorder="1" applyProtection="1">
      <protection hidden="1"/>
    </xf>
    <xf numFmtId="0" fontId="1" fillId="3" borderId="5" xfId="0" applyFont="1" applyFill="1" applyBorder="1" applyAlignment="1" applyProtection="1">
      <alignment horizontal="center"/>
      <protection hidden="1"/>
    </xf>
    <xf numFmtId="0" fontId="1" fillId="3" borderId="5" xfId="0" applyFont="1" applyFill="1" applyBorder="1" applyAlignment="1" applyProtection="1">
      <alignment horizontal="left"/>
      <protection hidden="1"/>
    </xf>
    <xf numFmtId="0" fontId="3" fillId="3" borderId="0" xfId="0" applyFont="1" applyFill="1" applyProtection="1">
      <protection hidden="1"/>
    </xf>
    <xf numFmtId="164" fontId="1" fillId="3" borderId="9" xfId="0" applyNumberFormat="1" applyFont="1" applyFill="1" applyBorder="1" applyProtection="1">
      <protection hidden="1"/>
    </xf>
    <xf numFmtId="0" fontId="1" fillId="3" borderId="7" xfId="0" applyFont="1" applyFill="1" applyBorder="1" applyAlignment="1" applyProtection="1">
      <alignment horizontal="left"/>
      <protection hidden="1"/>
    </xf>
    <xf numFmtId="1" fontId="1" fillId="3" borderId="0" xfId="0" applyNumberFormat="1" applyFont="1" applyFill="1" applyProtection="1">
      <protection hidden="1"/>
    </xf>
    <xf numFmtId="0" fontId="1" fillId="3" borderId="2" xfId="0" applyFont="1" applyFill="1" applyBorder="1" applyProtection="1"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165" fontId="1" fillId="3" borderId="9" xfId="0" applyNumberFormat="1" applyFont="1" applyFill="1" applyBorder="1" applyProtection="1">
      <protection hidden="1"/>
    </xf>
    <xf numFmtId="165" fontId="1" fillId="3" borderId="0" xfId="0" applyNumberFormat="1" applyFont="1" applyFill="1" applyProtection="1">
      <protection hidden="1"/>
    </xf>
    <xf numFmtId="1" fontId="1" fillId="3" borderId="0" xfId="0" applyNumberFormat="1" applyFont="1" applyFill="1" applyAlignment="1" applyProtection="1">
      <alignment vertical="center"/>
      <protection hidden="1"/>
    </xf>
    <xf numFmtId="0" fontId="1" fillId="3" borderId="7" xfId="0" applyFont="1" applyFill="1" applyBorder="1" applyAlignment="1" applyProtection="1">
      <alignment vertical="center"/>
      <protection hidden="1"/>
    </xf>
    <xf numFmtId="0" fontId="1" fillId="3" borderId="9" xfId="0" applyFont="1" applyFill="1" applyBorder="1" applyAlignment="1" applyProtection="1">
      <alignment horizontal="right"/>
      <protection hidden="1"/>
    </xf>
    <xf numFmtId="0" fontId="14" fillId="3" borderId="0" xfId="0" applyFont="1" applyFill="1" applyAlignment="1" applyProtection="1">
      <alignment vertical="center"/>
      <protection hidden="1"/>
    </xf>
    <xf numFmtId="0" fontId="15" fillId="3" borderId="0" xfId="0" applyFont="1" applyFill="1" applyProtection="1">
      <protection hidden="1"/>
    </xf>
    <xf numFmtId="0" fontId="1" fillId="3" borderId="13" xfId="0" applyFont="1" applyFill="1" applyBorder="1" applyProtection="1">
      <protection hidden="1"/>
    </xf>
    <xf numFmtId="0" fontId="1" fillId="3" borderId="1" xfId="0" applyFont="1" applyFill="1" applyBorder="1" applyProtection="1">
      <protection hidden="1"/>
    </xf>
    <xf numFmtId="0" fontId="1" fillId="3" borderId="6" xfId="0" applyFont="1" applyFill="1" applyBorder="1" applyProtection="1">
      <protection hidden="1"/>
    </xf>
    <xf numFmtId="0" fontId="3" fillId="3" borderId="0" xfId="0" applyFont="1" applyFill="1" applyAlignment="1" applyProtection="1">
      <alignment horizontal="left"/>
      <protection hidden="1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2" borderId="58" xfId="0" applyFont="1" applyFill="1" applyBorder="1" applyProtection="1">
      <protection hidden="1"/>
    </xf>
    <xf numFmtId="0" fontId="1" fillId="0" borderId="0" xfId="0" applyFont="1"/>
    <xf numFmtId="0" fontId="3" fillId="0" borderId="34" xfId="0" applyFont="1" applyBorder="1" applyProtection="1">
      <protection hidden="1"/>
    </xf>
    <xf numFmtId="0" fontId="3" fillId="0" borderId="9" xfId="0" applyFont="1" applyBorder="1" applyProtection="1">
      <protection hidden="1"/>
    </xf>
    <xf numFmtId="0" fontId="3" fillId="0" borderId="3" xfId="0" applyFont="1" applyBorder="1" applyProtection="1">
      <protection hidden="1"/>
    </xf>
    <xf numFmtId="0" fontId="3" fillId="0" borderId="33" xfId="0" applyFont="1" applyBorder="1" applyProtection="1">
      <protection hidden="1"/>
    </xf>
    <xf numFmtId="0" fontId="1" fillId="0" borderId="60" xfId="0" applyFont="1" applyBorder="1" applyProtection="1">
      <protection hidden="1"/>
    </xf>
    <xf numFmtId="0" fontId="1" fillId="0" borderId="2" xfId="0" applyFont="1" applyBorder="1" applyProtection="1">
      <protection hidden="1"/>
    </xf>
    <xf numFmtId="0" fontId="1" fillId="0" borderId="61" xfId="0" applyFont="1" applyBorder="1" applyProtection="1">
      <protection hidden="1"/>
    </xf>
    <xf numFmtId="0" fontId="1" fillId="0" borderId="5" xfId="0" applyFont="1" applyBorder="1" applyProtection="1">
      <protection hidden="1"/>
    </xf>
    <xf numFmtId="9" fontId="9" fillId="0" borderId="0" xfId="0" applyNumberFormat="1" applyFont="1" applyProtection="1">
      <protection hidden="1"/>
    </xf>
    <xf numFmtId="0" fontId="1" fillId="0" borderId="19" xfId="0" applyFont="1" applyBorder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vertical="center"/>
      <protection hidden="1"/>
    </xf>
    <xf numFmtId="0" fontId="1" fillId="0" borderId="12" xfId="0" applyFont="1" applyBorder="1" applyAlignment="1" applyProtection="1">
      <alignment vertical="center"/>
      <protection hidden="1"/>
    </xf>
    <xf numFmtId="0" fontId="1" fillId="0" borderId="9" xfId="0" applyFont="1" applyBorder="1" applyAlignment="1" applyProtection="1">
      <alignment vertical="center"/>
      <protection hidden="1"/>
    </xf>
    <xf numFmtId="0" fontId="0" fillId="0" borderId="7" xfId="0" applyBorder="1" applyProtection="1">
      <protection hidden="1"/>
    </xf>
    <xf numFmtId="0" fontId="1" fillId="0" borderId="10" xfId="0" applyFont="1" applyBorder="1" applyProtection="1">
      <protection hidden="1"/>
    </xf>
    <xf numFmtId="0" fontId="1" fillId="4" borderId="20" xfId="0" applyFont="1" applyFill="1" applyBorder="1" applyAlignment="1" applyProtection="1">
      <alignment horizontal="center"/>
      <protection hidden="1"/>
    </xf>
    <xf numFmtId="0" fontId="1" fillId="0" borderId="0" xfId="0" quotePrefix="1" applyFont="1" applyAlignment="1" applyProtection="1">
      <alignment textRotation="90"/>
      <protection hidden="1"/>
    </xf>
    <xf numFmtId="0" fontId="1" fillId="0" borderId="0" xfId="0" quotePrefix="1" applyFont="1" applyAlignment="1" applyProtection="1">
      <alignment textRotation="90" wrapText="1"/>
      <protection hidden="1"/>
    </xf>
    <xf numFmtId="0" fontId="1" fillId="0" borderId="0" xfId="0" quotePrefix="1" applyFont="1" applyAlignment="1" applyProtection="1">
      <alignment wrapText="1"/>
      <protection hidden="1"/>
    </xf>
    <xf numFmtId="0" fontId="1" fillId="0" borderId="0" xfId="0" applyFont="1" applyAlignment="1" applyProtection="1">
      <alignment textRotation="90" wrapText="1"/>
      <protection hidden="1"/>
    </xf>
    <xf numFmtId="0" fontId="1" fillId="0" borderId="0" xfId="0" applyFont="1" applyAlignment="1" applyProtection="1">
      <alignment textRotation="90"/>
      <protection hidden="1"/>
    </xf>
    <xf numFmtId="0" fontId="6" fillId="0" borderId="0" xfId="0" applyFont="1" applyAlignment="1" applyProtection="1">
      <alignment textRotation="90"/>
      <protection hidden="1"/>
    </xf>
    <xf numFmtId="0" fontId="11" fillId="0" borderId="0" xfId="0" applyFont="1"/>
    <xf numFmtId="0" fontId="11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vertical="center"/>
    </xf>
    <xf numFmtId="0" fontId="1" fillId="6" borderId="53" xfId="0" applyFont="1" applyFill="1" applyBorder="1" applyAlignment="1" applyProtection="1">
      <alignment horizont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0" fillId="6" borderId="0" xfId="0" applyFill="1"/>
    <xf numFmtId="0" fontId="1" fillId="0" borderId="31" xfId="0" applyFont="1" applyBorder="1" applyProtection="1">
      <protection hidden="1"/>
    </xf>
    <xf numFmtId="0" fontId="1" fillId="5" borderId="31" xfId="0" applyFont="1" applyFill="1" applyBorder="1" applyProtection="1">
      <protection hidden="1"/>
    </xf>
    <xf numFmtId="0" fontId="1" fillId="5" borderId="56" xfId="0" applyFont="1" applyFill="1" applyBorder="1" applyAlignment="1" applyProtection="1">
      <alignment horizontal="center"/>
      <protection hidden="1"/>
    </xf>
    <xf numFmtId="0" fontId="1" fillId="5" borderId="9" xfId="0" applyFont="1" applyFill="1" applyBorder="1" applyAlignment="1" applyProtection="1">
      <alignment horizontal="center"/>
      <protection hidden="1"/>
    </xf>
    <xf numFmtId="0" fontId="1" fillId="5" borderId="13" xfId="0" applyFont="1" applyFill="1" applyBorder="1" applyAlignment="1" applyProtection="1">
      <alignment horizontal="center"/>
      <protection hidden="1"/>
    </xf>
    <xf numFmtId="9" fontId="1" fillId="0" borderId="0" xfId="0" applyNumberFormat="1" applyFont="1" applyProtection="1"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1" fillId="0" borderId="7" xfId="0" quotePrefix="1" applyFont="1" applyBorder="1" applyAlignment="1" applyProtection="1">
      <alignment textRotation="90" wrapText="1"/>
      <protection hidden="1"/>
    </xf>
    <xf numFmtId="0" fontId="6" fillId="0" borderId="7" xfId="0" quotePrefix="1" applyFont="1" applyBorder="1" applyProtection="1">
      <protection hidden="1"/>
    </xf>
    <xf numFmtId="0" fontId="1" fillId="0" borderId="7" xfId="0" applyFont="1" applyBorder="1" applyAlignment="1" applyProtection="1">
      <alignment textRotation="90"/>
      <protection hidden="1"/>
    </xf>
    <xf numFmtId="0" fontId="1" fillId="2" borderId="22" xfId="0" applyFont="1" applyFill="1" applyBorder="1" applyAlignment="1" applyProtection="1">
      <alignment horizontal="center"/>
      <protection hidden="1"/>
    </xf>
    <xf numFmtId="0" fontId="1" fillId="5" borderId="3" xfId="0" applyFont="1" applyFill="1" applyBorder="1"/>
    <xf numFmtId="0" fontId="1" fillId="5" borderId="1" xfId="0" applyFont="1" applyFill="1" applyBorder="1"/>
    <xf numFmtId="0" fontId="1" fillId="4" borderId="53" xfId="0" applyFont="1" applyFill="1" applyBorder="1" applyProtection="1">
      <protection hidden="1"/>
    </xf>
    <xf numFmtId="0" fontId="1" fillId="4" borderId="55" xfId="0" applyFont="1" applyFill="1" applyBorder="1" applyProtection="1">
      <protection hidden="1"/>
    </xf>
    <xf numFmtId="0" fontId="0" fillId="0" borderId="62" xfId="0" applyBorder="1" applyAlignment="1">
      <alignment horizontal="center"/>
    </xf>
    <xf numFmtId="0" fontId="1" fillId="0" borderId="22" xfId="0" applyFont="1" applyBorder="1" applyAlignment="1" applyProtection="1">
      <alignment horizontal="center"/>
      <protection hidden="1"/>
    </xf>
    <xf numFmtId="0" fontId="12" fillId="0" borderId="5" xfId="0" applyFont="1" applyBorder="1" applyAlignment="1" applyProtection="1">
      <alignment horizontal="center"/>
      <protection hidden="1"/>
    </xf>
    <xf numFmtId="0" fontId="1" fillId="0" borderId="23" xfId="0" applyFont="1" applyBorder="1" applyProtection="1">
      <protection hidden="1"/>
    </xf>
    <xf numFmtId="0" fontId="1" fillId="0" borderId="29" xfId="0" applyFont="1" applyBorder="1" applyProtection="1">
      <protection hidden="1"/>
    </xf>
    <xf numFmtId="0" fontId="1" fillId="0" borderId="57" xfId="0" applyFont="1" applyBorder="1" applyProtection="1">
      <protection hidden="1"/>
    </xf>
    <xf numFmtId="0" fontId="1" fillId="0" borderId="68" xfId="0" applyFont="1" applyBorder="1" applyProtection="1">
      <protection hidden="1"/>
    </xf>
    <xf numFmtId="0" fontId="1" fillId="4" borderId="22" xfId="0" applyFont="1" applyFill="1" applyBorder="1" applyAlignment="1" applyProtection="1">
      <alignment horizontal="center"/>
      <protection hidden="1"/>
    </xf>
    <xf numFmtId="0" fontId="1" fillId="4" borderId="67" xfId="0" applyFont="1" applyFill="1" applyBorder="1" applyAlignment="1" applyProtection="1">
      <alignment horizontal="center"/>
      <protection hidden="1"/>
    </xf>
    <xf numFmtId="0" fontId="1" fillId="6" borderId="67" xfId="0" applyFont="1" applyFill="1" applyBorder="1" applyAlignment="1" applyProtection="1">
      <alignment horizontal="center"/>
      <protection hidden="1"/>
    </xf>
    <xf numFmtId="0" fontId="1" fillId="6" borderId="64" xfId="0" applyFont="1" applyFill="1" applyBorder="1" applyProtection="1">
      <protection hidden="1"/>
    </xf>
    <xf numFmtId="0" fontId="1" fillId="6" borderId="3" xfId="0" applyFont="1" applyFill="1" applyBorder="1" applyProtection="1">
      <protection hidden="1"/>
    </xf>
    <xf numFmtId="0" fontId="0" fillId="0" borderId="68" xfId="0" applyBorder="1" applyAlignment="1">
      <alignment horizontal="center"/>
    </xf>
    <xf numFmtId="0" fontId="1" fillId="5" borderId="31" xfId="0" quotePrefix="1" applyFont="1" applyFill="1" applyBorder="1" applyAlignment="1" applyProtection="1">
      <alignment horizontal="center" textRotation="90"/>
      <protection hidden="1"/>
    </xf>
    <xf numFmtId="0" fontId="1" fillId="0" borderId="9" xfId="0" quotePrefix="1" applyFont="1" applyBorder="1" applyAlignment="1" applyProtection="1">
      <alignment textRotation="90" wrapText="1"/>
      <protection hidden="1"/>
    </xf>
    <xf numFmtId="0" fontId="1" fillId="0" borderId="7" xfId="0" applyFont="1" applyBorder="1" applyAlignment="1" applyProtection="1">
      <alignment textRotation="90" wrapText="1"/>
      <protection hidden="1"/>
    </xf>
    <xf numFmtId="0" fontId="0" fillId="0" borderId="7" xfId="0" applyBorder="1" applyAlignment="1">
      <alignment horizontal="center"/>
    </xf>
    <xf numFmtId="0" fontId="0" fillId="4" borderId="11" xfId="0" applyFill="1" applyBorder="1"/>
    <xf numFmtId="0" fontId="0" fillId="4" borderId="10" xfId="0" applyFill="1" applyBorder="1"/>
    <xf numFmtId="0" fontId="0" fillId="4" borderId="12" xfId="0" applyFill="1" applyBorder="1"/>
    <xf numFmtId="0" fontId="0" fillId="4" borderId="72" xfId="0" applyFill="1" applyBorder="1"/>
    <xf numFmtId="0" fontId="0" fillId="4" borderId="30" xfId="0" applyFill="1" applyBorder="1"/>
    <xf numFmtId="0" fontId="1" fillId="6" borderId="65" xfId="0" applyFont="1" applyFill="1" applyBorder="1" applyProtection="1">
      <protection hidden="1"/>
    </xf>
    <xf numFmtId="0" fontId="1" fillId="6" borderId="66" xfId="0" applyFont="1" applyFill="1" applyBorder="1" applyProtection="1">
      <protection hidden="1"/>
    </xf>
    <xf numFmtId="0" fontId="1" fillId="0" borderId="56" xfId="0" applyFont="1" applyBorder="1" applyProtection="1"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0" fillId="6" borderId="11" xfId="0" applyFill="1" applyBorder="1"/>
    <xf numFmtId="0" fontId="0" fillId="6" borderId="12" xfId="0" applyFill="1" applyBorder="1"/>
    <xf numFmtId="0" fontId="0" fillId="6" borderId="12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9" xfId="0" applyFill="1" applyBorder="1"/>
    <xf numFmtId="0" fontId="0" fillId="6" borderId="0" xfId="0" applyFill="1" applyAlignment="1">
      <alignment vertical="center"/>
    </xf>
    <xf numFmtId="0" fontId="0" fillId="6" borderId="7" xfId="0" applyFill="1" applyBorder="1" applyAlignment="1">
      <alignment vertical="center"/>
    </xf>
    <xf numFmtId="0" fontId="0" fillId="6" borderId="0" xfId="0" applyFill="1" applyAlignment="1">
      <alignment horizontal="center"/>
    </xf>
    <xf numFmtId="0" fontId="0" fillId="6" borderId="7" xfId="0" applyFill="1" applyBorder="1"/>
    <xf numFmtId="0" fontId="1" fillId="6" borderId="9" xfId="0" applyFont="1" applyFill="1" applyBorder="1" applyProtection="1">
      <protection hidden="1"/>
    </xf>
    <xf numFmtId="0" fontId="1" fillId="6" borderId="7" xfId="0" applyFont="1" applyFill="1" applyBorder="1" applyProtection="1">
      <protection hidden="1"/>
    </xf>
    <xf numFmtId="0" fontId="1" fillId="6" borderId="68" xfId="0" applyFont="1" applyFill="1" applyBorder="1" applyAlignment="1" applyProtection="1">
      <alignment horizontal="center"/>
      <protection hidden="1"/>
    </xf>
    <xf numFmtId="0" fontId="0" fillId="4" borderId="73" xfId="0" applyFill="1" applyBorder="1" applyAlignment="1">
      <alignment horizontal="center"/>
    </xf>
    <xf numFmtId="0" fontId="0" fillId="4" borderId="74" xfId="0" applyFill="1" applyBorder="1" applyAlignment="1">
      <alignment horizontal="center"/>
    </xf>
    <xf numFmtId="0" fontId="0" fillId="0" borderId="7" xfId="0" applyBorder="1"/>
    <xf numFmtId="0" fontId="1" fillId="0" borderId="6" xfId="0" applyFont="1" applyBorder="1" applyAlignment="1" applyProtection="1">
      <alignment horizontal="center"/>
      <protection hidden="1"/>
    </xf>
    <xf numFmtId="0" fontId="1" fillId="0" borderId="57" xfId="0" applyFont="1" applyBorder="1" applyAlignment="1" applyProtection="1">
      <alignment horizontal="center"/>
      <protection hidden="1"/>
    </xf>
    <xf numFmtId="0" fontId="1" fillId="6" borderId="78" xfId="0" applyFont="1" applyFill="1" applyBorder="1" applyAlignment="1" applyProtection="1">
      <alignment horizontal="center"/>
      <protection hidden="1"/>
    </xf>
    <xf numFmtId="0" fontId="1" fillId="6" borderId="25" xfId="0" applyFont="1" applyFill="1" applyBorder="1" applyAlignment="1" applyProtection="1">
      <alignment horizontal="center"/>
      <protection hidden="1"/>
    </xf>
    <xf numFmtId="0" fontId="1" fillId="6" borderId="79" xfId="0" applyFont="1" applyFill="1" applyBorder="1" applyAlignment="1" applyProtection="1">
      <alignment horizontal="center"/>
      <protection hidden="1"/>
    </xf>
    <xf numFmtId="0" fontId="1" fillId="6" borderId="26" xfId="0" applyFont="1" applyFill="1" applyBorder="1" applyAlignment="1" applyProtection="1">
      <alignment horizontal="center"/>
      <protection hidden="1"/>
    </xf>
    <xf numFmtId="0" fontId="1" fillId="6" borderId="13" xfId="0" applyFont="1" applyFill="1" applyBorder="1" applyAlignment="1" applyProtection="1">
      <alignment horizontal="center"/>
      <protection hidden="1"/>
    </xf>
    <xf numFmtId="0" fontId="1" fillId="6" borderId="9" xfId="0" applyFont="1" applyFill="1" applyBorder="1" applyAlignment="1" applyProtection="1">
      <alignment horizontal="center"/>
      <protection hidden="1"/>
    </xf>
    <xf numFmtId="0" fontId="1" fillId="3" borderId="0" xfId="0" applyFont="1" applyFill="1" applyAlignment="1" applyProtection="1">
      <alignment horizontal="right"/>
      <protection hidden="1"/>
    </xf>
    <xf numFmtId="0" fontId="1" fillId="0" borderId="18" xfId="0" applyFont="1" applyBorder="1" applyAlignment="1" applyProtection="1">
      <alignment vertical="center"/>
      <protection hidden="1"/>
    </xf>
    <xf numFmtId="0" fontId="0" fillId="4" borderId="82" xfId="0" applyFill="1" applyBorder="1" applyAlignment="1">
      <alignment horizontal="center"/>
    </xf>
    <xf numFmtId="0" fontId="1" fillId="6" borderId="29" xfId="0" applyFont="1" applyFill="1" applyBorder="1" applyAlignment="1" applyProtection="1">
      <alignment horizontal="center"/>
      <protection hidden="1"/>
    </xf>
    <xf numFmtId="0" fontId="1" fillId="6" borderId="62" xfId="0" applyFont="1" applyFill="1" applyBorder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0" fillId="0" borderId="65" xfId="0" applyBorder="1" applyAlignment="1">
      <alignment horizontal="center"/>
    </xf>
    <xf numFmtId="0" fontId="1" fillId="3" borderId="0" xfId="0" quotePrefix="1" applyFont="1" applyFill="1" applyProtection="1">
      <protection hidden="1"/>
    </xf>
    <xf numFmtId="0" fontId="1" fillId="3" borderId="0" xfId="2" applyNumberFormat="1" applyFont="1" applyFill="1" applyBorder="1" applyAlignment="1" applyProtection="1">
      <protection hidden="1"/>
    </xf>
    <xf numFmtId="9" fontId="1" fillId="3" borderId="0" xfId="0" applyNumberFormat="1" applyFont="1" applyFill="1" applyProtection="1">
      <protection hidden="1"/>
    </xf>
    <xf numFmtId="0" fontId="1" fillId="6" borderId="4" xfId="0" applyFont="1" applyFill="1" applyBorder="1" applyAlignment="1" applyProtection="1">
      <alignment horizontal="center"/>
      <protection hidden="1"/>
    </xf>
    <xf numFmtId="0" fontId="1" fillId="6" borderId="69" xfId="0" applyFont="1" applyFill="1" applyBorder="1" applyAlignment="1" applyProtection="1">
      <alignment horizontal="center"/>
      <protection hidden="1"/>
    </xf>
    <xf numFmtId="0" fontId="10" fillId="3" borderId="0" xfId="0" applyFont="1" applyFill="1" applyAlignment="1" applyProtection="1">
      <alignment vertical="center"/>
      <protection hidden="1"/>
    </xf>
    <xf numFmtId="0" fontId="1" fillId="5" borderId="22" xfId="0" applyFont="1" applyFill="1" applyBorder="1" applyProtection="1">
      <protection hidden="1"/>
    </xf>
    <xf numFmtId="0" fontId="1" fillId="0" borderId="13" xfId="0" quotePrefix="1" applyFont="1" applyBorder="1" applyProtection="1">
      <protection hidden="1"/>
    </xf>
    <xf numFmtId="0" fontId="1" fillId="0" borderId="89" xfId="0" quotePrefix="1" applyFont="1" applyBorder="1" applyProtection="1">
      <protection hidden="1"/>
    </xf>
    <xf numFmtId="0" fontId="1" fillId="0" borderId="83" xfId="0" applyFont="1" applyBorder="1" applyProtection="1">
      <protection hidden="1"/>
    </xf>
    <xf numFmtId="0" fontId="1" fillId="0" borderId="90" xfId="0" applyFont="1" applyBorder="1" applyProtection="1">
      <protection hidden="1"/>
    </xf>
    <xf numFmtId="0" fontId="1" fillId="0" borderId="38" xfId="0" applyFont="1" applyBorder="1" applyProtection="1">
      <protection hidden="1"/>
    </xf>
    <xf numFmtId="0" fontId="1" fillId="5" borderId="83" xfId="0" quotePrefix="1" applyFont="1" applyFill="1" applyBorder="1" applyProtection="1">
      <protection hidden="1"/>
    </xf>
    <xf numFmtId="0" fontId="1" fillId="0" borderId="1" xfId="0" quotePrefix="1" applyFont="1" applyBorder="1" applyProtection="1">
      <protection hidden="1"/>
    </xf>
    <xf numFmtId="0" fontId="1" fillId="5" borderId="6" xfId="0" applyFont="1" applyFill="1" applyBorder="1" applyProtection="1">
      <protection hidden="1"/>
    </xf>
    <xf numFmtId="0" fontId="1" fillId="5" borderId="1" xfId="0" quotePrefix="1" applyFont="1" applyFill="1" applyBorder="1" applyProtection="1">
      <protection hidden="1"/>
    </xf>
    <xf numFmtId="0" fontId="1" fillId="0" borderId="83" xfId="0" applyFont="1" applyBorder="1"/>
    <xf numFmtId="0" fontId="1" fillId="5" borderId="6" xfId="0" applyFont="1" applyFill="1" applyBorder="1"/>
    <xf numFmtId="0" fontId="1" fillId="0" borderId="21" xfId="0" applyFont="1" applyBorder="1" applyAlignment="1" applyProtection="1">
      <alignment horizontal="center"/>
      <protection hidden="1"/>
    </xf>
    <xf numFmtId="0" fontId="1" fillId="0" borderId="11" xfId="0" quotePrefix="1" applyFont="1" applyBorder="1" applyProtection="1">
      <protection hidden="1"/>
    </xf>
    <xf numFmtId="0" fontId="1" fillId="0" borderId="12" xfId="0" quotePrefix="1" applyFont="1" applyBorder="1" applyProtection="1">
      <protection hidden="1"/>
    </xf>
    <xf numFmtId="0" fontId="1" fillId="0" borderId="68" xfId="0" applyFont="1" applyBorder="1" applyAlignment="1" applyProtection="1">
      <alignment horizontal="center"/>
      <protection hidden="1"/>
    </xf>
    <xf numFmtId="9" fontId="1" fillId="0" borderId="3" xfId="0" applyNumberFormat="1" applyFont="1" applyBorder="1" applyProtection="1">
      <protection hidden="1"/>
    </xf>
    <xf numFmtId="0" fontId="1" fillId="0" borderId="0" xfId="0" applyFont="1" applyAlignment="1" applyProtection="1">
      <alignment wrapText="1"/>
      <protection hidden="1"/>
    </xf>
    <xf numFmtId="0" fontId="6" fillId="0" borderId="0" xfId="0" applyFont="1" applyProtection="1">
      <protection hidden="1"/>
    </xf>
    <xf numFmtId="0" fontId="0" fillId="5" borderId="74" xfId="0" applyFill="1" applyBorder="1"/>
    <xf numFmtId="0" fontId="0" fillId="0" borderId="91" xfId="0" applyBorder="1"/>
    <xf numFmtId="0" fontId="1" fillId="0" borderId="92" xfId="0" applyFont="1" applyBorder="1" applyProtection="1">
      <protection hidden="1"/>
    </xf>
    <xf numFmtId="0" fontId="1" fillId="0" borderId="93" xfId="0" applyFont="1" applyBorder="1" applyProtection="1">
      <protection hidden="1"/>
    </xf>
    <xf numFmtId="0" fontId="3" fillId="0" borderId="0" xfId="0" applyFont="1"/>
    <xf numFmtId="0" fontId="1" fillId="0" borderId="0" xfId="0" quotePrefix="1" applyFont="1"/>
    <xf numFmtId="0" fontId="1" fillId="0" borderId="0" xfId="0" quotePrefix="1" applyFont="1" applyAlignment="1">
      <alignment horizontal="left"/>
    </xf>
    <xf numFmtId="0" fontId="3" fillId="0" borderId="0" xfId="0" quotePrefix="1" applyFont="1"/>
    <xf numFmtId="0" fontId="3" fillId="0" borderId="0" xfId="0" quotePrefix="1" applyFont="1" applyAlignment="1">
      <alignment horizontal="left"/>
    </xf>
    <xf numFmtId="0" fontId="12" fillId="0" borderId="0" xfId="0" applyFont="1"/>
    <xf numFmtId="0" fontId="1" fillId="0" borderId="0" xfId="0" applyFont="1" applyAlignment="1">
      <alignment wrapText="1"/>
    </xf>
    <xf numFmtId="9" fontId="1" fillId="0" borderId="0" xfId="0" applyNumberFormat="1" applyFont="1"/>
    <xf numFmtId="0" fontId="1" fillId="3" borderId="0" xfId="0" applyFont="1" applyFill="1"/>
    <xf numFmtId="0" fontId="2" fillId="3" borderId="0" xfId="0" applyFont="1" applyFill="1" applyAlignment="1">
      <alignment vertical="center"/>
    </xf>
    <xf numFmtId="0" fontId="1" fillId="3" borderId="11" xfId="0" applyFont="1" applyFill="1" applyBorder="1"/>
    <xf numFmtId="0" fontId="1" fillId="3" borderId="12" xfId="0" applyFont="1" applyFill="1" applyBorder="1"/>
    <xf numFmtId="0" fontId="1" fillId="3" borderId="10" xfId="0" applyFont="1" applyFill="1" applyBorder="1"/>
    <xf numFmtId="0" fontId="5" fillId="3" borderId="0" xfId="0" applyFont="1" applyFill="1"/>
    <xf numFmtId="0" fontId="5" fillId="3" borderId="7" xfId="0" applyFont="1" applyFill="1" applyBorder="1"/>
    <xf numFmtId="0" fontId="1" fillId="3" borderId="9" xfId="0" applyFont="1" applyFill="1" applyBorder="1"/>
    <xf numFmtId="0" fontId="1" fillId="3" borderId="5" xfId="0" applyFont="1" applyFill="1" applyBorder="1"/>
    <xf numFmtId="0" fontId="1" fillId="3" borderId="7" xfId="0" applyFont="1" applyFill="1" applyBorder="1"/>
    <xf numFmtId="0" fontId="1" fillId="3" borderId="1" xfId="0" applyFont="1" applyFill="1" applyBorder="1"/>
    <xf numFmtId="0" fontId="1" fillId="3" borderId="6" xfId="0" applyFont="1" applyFill="1" applyBorder="1"/>
    <xf numFmtId="0" fontId="18" fillId="3" borderId="0" xfId="0" applyFont="1" applyFill="1"/>
    <xf numFmtId="0" fontId="18" fillId="3" borderId="0" xfId="0" quotePrefix="1" applyFont="1" applyFill="1" applyAlignment="1">
      <alignment horizontal="left"/>
    </xf>
    <xf numFmtId="0" fontId="18" fillId="3" borderId="0" xfId="0" quotePrefix="1" applyFont="1" applyFill="1"/>
    <xf numFmtId="0" fontId="0" fillId="3" borderId="0" xfId="0" applyFill="1"/>
    <xf numFmtId="0" fontId="17" fillId="3" borderId="0" xfId="0" applyFont="1" applyFill="1" applyAlignment="1">
      <alignment vertical="center"/>
    </xf>
    <xf numFmtId="0" fontId="1" fillId="0" borderId="0" xfId="0" applyFont="1" applyAlignment="1" applyProtection="1">
      <alignment horizontal="center"/>
      <protection hidden="1"/>
    </xf>
    <xf numFmtId="0" fontId="1" fillId="0" borderId="26" xfId="0" applyFont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1" fillId="0" borderId="0" xfId="0" quotePrefix="1" applyFont="1" applyAlignment="1" applyProtection="1">
      <alignment horizontal="center"/>
      <protection hidden="1"/>
    </xf>
    <xf numFmtId="0" fontId="1" fillId="0" borderId="4" xfId="0" applyFont="1" applyBorder="1" applyAlignment="1" applyProtection="1">
      <alignment horizontal="center"/>
      <protection hidden="1"/>
    </xf>
    <xf numFmtId="0" fontId="1" fillId="5" borderId="0" xfId="0" applyFont="1" applyFill="1" applyAlignment="1" applyProtection="1">
      <alignment horizontal="center"/>
      <protection hidden="1"/>
    </xf>
    <xf numFmtId="0" fontId="1" fillId="0" borderId="18" xfId="0" applyFont="1" applyBorder="1" applyAlignment="1" applyProtection="1">
      <alignment horizontal="center"/>
      <protection hidden="1"/>
    </xf>
    <xf numFmtId="0" fontId="1" fillId="0" borderId="17" xfId="0" applyFont="1" applyBorder="1" applyAlignment="1" applyProtection="1">
      <alignment horizontal="center"/>
      <protection hidden="1"/>
    </xf>
    <xf numFmtId="0" fontId="1" fillId="0" borderId="19" xfId="0" applyFont="1" applyBorder="1" applyAlignment="1" applyProtection="1">
      <alignment horizontal="center"/>
      <protection hidden="1"/>
    </xf>
    <xf numFmtId="9" fontId="1" fillId="0" borderId="3" xfId="0" applyNumberFormat="1" applyFont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9" fillId="0" borderId="0" xfId="0" applyFont="1" applyAlignment="1" applyProtection="1">
      <alignment horizontal="center"/>
      <protection hidden="1"/>
    </xf>
    <xf numFmtId="0" fontId="19" fillId="0" borderId="1" xfId="0" applyFont="1" applyBorder="1" applyAlignment="1" applyProtection="1">
      <alignment horizontal="center"/>
      <protection hidden="1"/>
    </xf>
    <xf numFmtId="0" fontId="0" fillId="0" borderId="9" xfId="0" applyBorder="1" applyAlignment="1">
      <alignment horizontal="center"/>
    </xf>
    <xf numFmtId="0" fontId="1" fillId="0" borderId="63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1" fillId="0" borderId="7" xfId="0" applyFont="1" applyBorder="1" applyAlignment="1" applyProtection="1">
      <alignment horizontal="left"/>
      <protection hidden="1"/>
    </xf>
    <xf numFmtId="0" fontId="1" fillId="6" borderId="53" xfId="0" applyFont="1" applyFill="1" applyBorder="1" applyAlignment="1" applyProtection="1">
      <alignment horizontal="center"/>
      <protection hidden="1"/>
    </xf>
    <xf numFmtId="0" fontId="1" fillId="6" borderId="55" xfId="0" applyFont="1" applyFill="1" applyBorder="1" applyAlignment="1" applyProtection="1">
      <alignment horizontal="center"/>
      <protection hidden="1"/>
    </xf>
    <xf numFmtId="0" fontId="1" fillId="4" borderId="53" xfId="0" applyFont="1" applyFill="1" applyBorder="1" applyAlignment="1" applyProtection="1">
      <alignment horizontal="center"/>
      <protection hidden="1"/>
    </xf>
    <xf numFmtId="0" fontId="1" fillId="4" borderId="55" xfId="0" applyFont="1" applyFill="1" applyBorder="1" applyAlignment="1" applyProtection="1">
      <alignment horizontal="center"/>
      <protection hidden="1"/>
    </xf>
    <xf numFmtId="0" fontId="1" fillId="6" borderId="54" xfId="0" applyFont="1" applyFill="1" applyBorder="1" applyAlignment="1" applyProtection="1">
      <alignment horizontal="left"/>
      <protection hidden="1"/>
    </xf>
    <xf numFmtId="0" fontId="1" fillId="6" borderId="55" xfId="0" applyFont="1" applyFill="1" applyBorder="1" applyAlignment="1" applyProtection="1">
      <alignment horizontal="left"/>
      <protection hidden="1"/>
    </xf>
    <xf numFmtId="0" fontId="1" fillId="0" borderId="15" xfId="0" applyFont="1" applyBorder="1" applyAlignment="1" applyProtection="1">
      <alignment horizontal="center"/>
      <protection hidden="1"/>
    </xf>
    <xf numFmtId="0" fontId="1" fillId="0" borderId="16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6" borderId="13" xfId="0" applyFont="1" applyFill="1" applyBorder="1" applyAlignment="1" applyProtection="1">
      <alignment horizontal="center"/>
      <protection hidden="1"/>
    </xf>
    <xf numFmtId="0" fontId="1" fillId="6" borderId="6" xfId="0" applyFont="1" applyFill="1" applyBorder="1" applyAlignment="1" applyProtection="1">
      <alignment horizontal="center"/>
      <protection hidden="1"/>
    </xf>
    <xf numFmtId="0" fontId="1" fillId="0" borderId="73" xfId="0" applyFont="1" applyBorder="1" applyAlignment="1" applyProtection="1">
      <alignment horizontal="left"/>
      <protection hidden="1"/>
    </xf>
    <xf numFmtId="0" fontId="1" fillId="0" borderId="74" xfId="0" applyFont="1" applyBorder="1" applyAlignment="1" applyProtection="1">
      <alignment horizontal="left"/>
      <protection hidden="1"/>
    </xf>
    <xf numFmtId="0" fontId="1" fillId="0" borderId="9" xfId="0" applyFont="1" applyBorder="1" applyAlignment="1" applyProtection="1">
      <alignment horizontal="left"/>
      <protection hidden="1"/>
    </xf>
    <xf numFmtId="0" fontId="1" fillId="0" borderId="76" xfId="0" applyFont="1" applyBorder="1" applyAlignment="1" applyProtection="1">
      <alignment horizontal="center"/>
      <protection hidden="1"/>
    </xf>
    <xf numFmtId="0" fontId="1" fillId="0" borderId="77" xfId="0" applyFont="1" applyBorder="1" applyAlignment="1" applyProtection="1">
      <alignment horizontal="center"/>
      <protection hidden="1"/>
    </xf>
    <xf numFmtId="0" fontId="1" fillId="0" borderId="1" xfId="0" quotePrefix="1" applyFont="1" applyBorder="1" applyAlignment="1" applyProtection="1">
      <alignment horizontal="left"/>
      <protection hidden="1"/>
    </xf>
    <xf numFmtId="0" fontId="1" fillId="0" borderId="6" xfId="0" quotePrefix="1" applyFont="1" applyBorder="1" applyAlignment="1" applyProtection="1">
      <alignment horizontal="left"/>
      <protection hidden="1"/>
    </xf>
    <xf numFmtId="0" fontId="1" fillId="5" borderId="9" xfId="0" applyFont="1" applyFill="1" applyBorder="1" applyAlignment="1" applyProtection="1">
      <alignment horizontal="center"/>
      <protection hidden="1"/>
    </xf>
    <xf numFmtId="0" fontId="1" fillId="5" borderId="7" xfId="0" applyFont="1" applyFill="1" applyBorder="1" applyAlignment="1" applyProtection="1">
      <alignment horizontal="center"/>
      <protection hidden="1"/>
    </xf>
    <xf numFmtId="0" fontId="1" fillId="6" borderId="12" xfId="0" applyFont="1" applyFill="1" applyBorder="1" applyAlignment="1" applyProtection="1">
      <alignment horizontal="center" textRotation="90" wrapText="1"/>
      <protection hidden="1"/>
    </xf>
    <xf numFmtId="0" fontId="1" fillId="6" borderId="0" xfId="0" applyFont="1" applyFill="1" applyAlignment="1" applyProtection="1">
      <alignment horizontal="center" textRotation="90" wrapText="1"/>
      <protection hidden="1"/>
    </xf>
    <xf numFmtId="0" fontId="1" fillId="6" borderId="26" xfId="0" applyFont="1" applyFill="1" applyBorder="1" applyAlignment="1" applyProtection="1">
      <alignment horizontal="center" textRotation="90" wrapText="1"/>
      <protection hidden="1"/>
    </xf>
    <xf numFmtId="0" fontId="1" fillId="4" borderId="65" xfId="0" applyFont="1" applyFill="1" applyBorder="1" applyAlignment="1" applyProtection="1">
      <alignment horizontal="center"/>
      <protection hidden="1"/>
    </xf>
    <xf numFmtId="0" fontId="1" fillId="4" borderId="66" xfId="0" applyFont="1" applyFill="1" applyBorder="1" applyAlignment="1" applyProtection="1">
      <alignment horizontal="center"/>
      <protection hidden="1"/>
    </xf>
    <xf numFmtId="0" fontId="1" fillId="0" borderId="0" xfId="0" quotePrefix="1" applyFont="1" applyAlignment="1" applyProtection="1">
      <alignment horizontal="left"/>
      <protection hidden="1"/>
    </xf>
    <xf numFmtId="0" fontId="1" fillId="0" borderId="7" xfId="0" quotePrefix="1" applyFont="1" applyBorder="1" applyAlignment="1" applyProtection="1">
      <alignment horizontal="left"/>
      <protection hidden="1"/>
    </xf>
    <xf numFmtId="0" fontId="1" fillId="0" borderId="1" xfId="0" applyFont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left"/>
      <protection hidden="1"/>
    </xf>
    <xf numFmtId="0" fontId="0" fillId="0" borderId="7" xfId="0" applyBorder="1" applyAlignment="1">
      <alignment horizontal="center"/>
    </xf>
    <xf numFmtId="0" fontId="1" fillId="0" borderId="22" xfId="0" applyFont="1" applyBorder="1" applyAlignment="1" applyProtection="1">
      <alignment horizontal="center"/>
      <protection hidden="1"/>
    </xf>
    <xf numFmtId="0" fontId="1" fillId="5" borderId="13" xfId="0" applyFont="1" applyFill="1" applyBorder="1" applyAlignment="1" applyProtection="1">
      <alignment horizontal="center"/>
      <protection hidden="1"/>
    </xf>
    <xf numFmtId="0" fontId="1" fillId="5" borderId="6" xfId="0" applyFont="1" applyFill="1" applyBorder="1" applyAlignment="1" applyProtection="1">
      <alignment horizontal="center"/>
      <protection hidden="1"/>
    </xf>
    <xf numFmtId="0" fontId="1" fillId="0" borderId="14" xfId="0" applyFont="1" applyBorder="1" applyAlignment="1" applyProtection="1">
      <alignment horizontal="center"/>
      <protection hidden="1"/>
    </xf>
    <xf numFmtId="0" fontId="1" fillId="0" borderId="5" xfId="0" applyFont="1" applyBorder="1" applyAlignment="1" applyProtection="1">
      <alignment horizontal="center"/>
      <protection hidden="1"/>
    </xf>
    <xf numFmtId="0" fontId="1" fillId="0" borderId="56" xfId="0" applyFont="1" applyBorder="1" applyAlignment="1" applyProtection="1">
      <alignment horizontal="center"/>
      <protection hidden="1"/>
    </xf>
    <xf numFmtId="0" fontId="1" fillId="0" borderId="29" xfId="0" applyFont="1" applyBorder="1" applyAlignment="1" applyProtection="1">
      <alignment horizontal="center"/>
      <protection hidden="1"/>
    </xf>
    <xf numFmtId="0" fontId="0" fillId="0" borderId="1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1" fontId="1" fillId="2" borderId="11" xfId="0" applyNumberFormat="1" applyFont="1" applyFill="1" applyBorder="1" applyAlignment="1" applyProtection="1">
      <alignment horizontal="center" vertical="center"/>
      <protection hidden="1"/>
    </xf>
    <xf numFmtId="0" fontId="1" fillId="2" borderId="10" xfId="0" applyFont="1" applyFill="1" applyBorder="1" applyAlignment="1" applyProtection="1">
      <alignment horizontal="center" vertical="center"/>
      <protection hidden="1"/>
    </xf>
    <xf numFmtId="0" fontId="1" fillId="2" borderId="13" xfId="0" applyFont="1" applyFill="1" applyBorder="1" applyAlignment="1" applyProtection="1">
      <alignment horizontal="center" vertical="center"/>
      <protection hidden="1"/>
    </xf>
    <xf numFmtId="0" fontId="1" fillId="2" borderId="6" xfId="0" applyFont="1" applyFill="1" applyBorder="1" applyAlignment="1" applyProtection="1">
      <alignment horizontal="center" vertical="center"/>
      <protection hidden="1"/>
    </xf>
    <xf numFmtId="0" fontId="1" fillId="5" borderId="11" xfId="0" applyFont="1" applyFill="1" applyBorder="1" applyAlignment="1" applyProtection="1">
      <alignment horizontal="center" vertical="center"/>
      <protection hidden="1"/>
    </xf>
    <xf numFmtId="0" fontId="1" fillId="5" borderId="10" xfId="0" applyFont="1" applyFill="1" applyBorder="1" applyAlignment="1" applyProtection="1">
      <alignment horizontal="center" vertical="center"/>
      <protection hidden="1"/>
    </xf>
    <xf numFmtId="0" fontId="1" fillId="5" borderId="13" xfId="0" applyFont="1" applyFill="1" applyBorder="1" applyAlignment="1" applyProtection="1">
      <alignment horizontal="center" vertical="center"/>
      <protection hidden="1"/>
    </xf>
    <xf numFmtId="0" fontId="1" fillId="5" borderId="6" xfId="0" applyFont="1" applyFill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3" xfId="0" applyFont="1" applyBorder="1" applyAlignment="1" applyProtection="1">
      <alignment horizontal="center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36" xfId="0" applyFont="1" applyBorder="1" applyAlignment="1" applyProtection="1">
      <alignment horizontal="left"/>
      <protection hidden="1"/>
    </xf>
    <xf numFmtId="0" fontId="1" fillId="0" borderId="59" xfId="0" applyFont="1" applyBorder="1" applyAlignment="1" applyProtection="1">
      <alignment horizontal="left"/>
      <protection hidden="1"/>
    </xf>
    <xf numFmtId="0" fontId="1" fillId="0" borderId="75" xfId="0" applyFont="1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0" fillId="0" borderId="12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2" borderId="11" xfId="0" applyFill="1" applyBorder="1" applyAlignment="1" applyProtection="1">
      <alignment horizontal="center"/>
      <protection hidden="1"/>
    </xf>
    <xf numFmtId="0" fontId="0" fillId="2" borderId="12" xfId="0" applyFill="1" applyBorder="1" applyAlignment="1" applyProtection="1">
      <alignment horizontal="center"/>
      <protection hidden="1"/>
    </xf>
    <xf numFmtId="0" fontId="0" fillId="2" borderId="10" xfId="0" applyFill="1" applyBorder="1" applyAlignment="1" applyProtection="1">
      <alignment horizontal="center"/>
      <protection hidden="1"/>
    </xf>
    <xf numFmtId="0" fontId="1" fillId="2" borderId="11" xfId="0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12" fillId="0" borderId="88" xfId="0" applyFont="1" applyBorder="1" applyAlignment="1" applyProtection="1">
      <alignment horizontal="center" vertical="top"/>
      <protection hidden="1"/>
    </xf>
    <xf numFmtId="0" fontId="12" fillId="0" borderId="84" xfId="0" applyFont="1" applyBorder="1" applyAlignment="1" applyProtection="1">
      <alignment horizontal="center" vertical="top"/>
      <protection hidden="1"/>
    </xf>
    <xf numFmtId="0" fontId="12" fillId="0" borderId="85" xfId="0" applyFont="1" applyBorder="1" applyAlignment="1" applyProtection="1">
      <alignment horizontal="center" vertical="top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13" fillId="0" borderId="87" xfId="0" applyFont="1" applyBorder="1" applyAlignment="1" applyProtection="1">
      <alignment horizontal="left" vertical="center"/>
      <protection hidden="1"/>
    </xf>
    <xf numFmtId="0" fontId="13" fillId="0" borderId="51" xfId="0" applyFont="1" applyBorder="1" applyAlignment="1" applyProtection="1">
      <alignment horizontal="left" vertical="center"/>
      <protection hidden="1"/>
    </xf>
    <xf numFmtId="0" fontId="1" fillId="0" borderId="1" xfId="0" quotePrefix="1" applyFont="1" applyBorder="1" applyAlignment="1" applyProtection="1">
      <alignment horizontal="center"/>
      <protection hidden="1"/>
    </xf>
    <xf numFmtId="0" fontId="1" fillId="0" borderId="86" xfId="0" applyFont="1" applyBorder="1" applyAlignment="1" applyProtection="1">
      <alignment horizontal="center"/>
      <protection hidden="1"/>
    </xf>
    <xf numFmtId="0" fontId="1" fillId="0" borderId="11" xfId="0" quotePrefix="1" applyFont="1" applyBorder="1" applyAlignment="1" applyProtection="1">
      <alignment horizontal="center"/>
      <protection hidden="1"/>
    </xf>
    <xf numFmtId="0" fontId="1" fillId="0" borderId="12" xfId="0" quotePrefix="1" applyFont="1" applyBorder="1" applyAlignment="1" applyProtection="1">
      <alignment horizontal="center"/>
      <protection hidden="1"/>
    </xf>
    <xf numFmtId="1" fontId="1" fillId="3" borderId="0" xfId="0" applyNumberFormat="1" applyFont="1" applyFill="1" applyAlignment="1" applyProtection="1">
      <alignment horizontal="center" vertical="center"/>
      <protection hidden="1"/>
    </xf>
    <xf numFmtId="0" fontId="1" fillId="3" borderId="9" xfId="0" applyFont="1" applyFill="1" applyBorder="1" applyAlignment="1" applyProtection="1">
      <alignment horizontal="left"/>
      <protection hidden="1"/>
    </xf>
    <xf numFmtId="0" fontId="1" fillId="3" borderId="0" xfId="0" applyFont="1" applyFill="1" applyAlignment="1" applyProtection="1">
      <alignment horizontal="left"/>
      <protection hidden="1"/>
    </xf>
    <xf numFmtId="0" fontId="1" fillId="0" borderId="9" xfId="0" quotePrefix="1" applyFont="1" applyBorder="1" applyAlignment="1" applyProtection="1">
      <alignment horizontal="center" textRotation="90"/>
      <protection hidden="1"/>
    </xf>
    <xf numFmtId="0" fontId="1" fillId="0" borderId="62" xfId="0" quotePrefix="1" applyFont="1" applyBorder="1" applyAlignment="1" applyProtection="1">
      <alignment horizontal="center" textRotation="90"/>
      <protection hidden="1"/>
    </xf>
    <xf numFmtId="0" fontId="1" fillId="6" borderId="11" xfId="0" applyFont="1" applyFill="1" applyBorder="1" applyAlignment="1" applyProtection="1">
      <alignment horizontal="center" textRotation="90" wrapText="1"/>
      <protection hidden="1"/>
    </xf>
    <xf numFmtId="0" fontId="1" fillId="6" borderId="9" xfId="0" applyFont="1" applyFill="1" applyBorder="1" applyAlignment="1" applyProtection="1">
      <alignment horizontal="center" textRotation="90" wrapText="1"/>
      <protection hidden="1"/>
    </xf>
    <xf numFmtId="0" fontId="1" fillId="6" borderId="62" xfId="0" applyFont="1" applyFill="1" applyBorder="1" applyAlignment="1" applyProtection="1">
      <alignment horizontal="center" textRotation="90" wrapText="1"/>
      <protection hidden="1"/>
    </xf>
    <xf numFmtId="0" fontId="1" fillId="6" borderId="70" xfId="0" applyFont="1" applyFill="1" applyBorder="1" applyAlignment="1" applyProtection="1">
      <alignment horizontal="center" textRotation="90" wrapText="1"/>
      <protection hidden="1"/>
    </xf>
    <xf numFmtId="0" fontId="1" fillId="6" borderId="49" xfId="0" applyFont="1" applyFill="1" applyBorder="1" applyAlignment="1" applyProtection="1">
      <alignment horizontal="center" textRotation="90" wrapText="1"/>
      <protection hidden="1"/>
    </xf>
    <xf numFmtId="0" fontId="1" fillId="6" borderId="71" xfId="0" applyFont="1" applyFill="1" applyBorder="1" applyAlignment="1" applyProtection="1">
      <alignment horizontal="center" textRotation="90" wrapText="1"/>
      <protection hidden="1"/>
    </xf>
    <xf numFmtId="0" fontId="1" fillId="0" borderId="7" xfId="0" quotePrefix="1" applyFont="1" applyBorder="1" applyAlignment="1" applyProtection="1">
      <alignment horizontal="center" textRotation="90"/>
      <protection hidden="1"/>
    </xf>
    <xf numFmtId="0" fontId="1" fillId="0" borderId="63" xfId="0" quotePrefix="1" applyFont="1" applyBorder="1" applyAlignment="1" applyProtection="1">
      <alignment horizontal="center" textRotation="90"/>
      <protection hidden="1"/>
    </xf>
    <xf numFmtId="0" fontId="1" fillId="0" borderId="0" xfId="0" applyFont="1" applyAlignment="1" applyProtection="1">
      <alignment horizontal="center" textRotation="90" wrapText="1"/>
      <protection hidden="1"/>
    </xf>
    <xf numFmtId="0" fontId="1" fillId="0" borderId="26" xfId="0" applyFont="1" applyBorder="1" applyAlignment="1" applyProtection="1">
      <alignment horizontal="center" textRotation="90" wrapText="1"/>
      <protection hidden="1"/>
    </xf>
    <xf numFmtId="0" fontId="12" fillId="3" borderId="0" xfId="0" applyFont="1" applyFill="1" applyAlignment="1" applyProtection="1">
      <alignment horizontal="center" vertical="top"/>
      <protection locked="0" hidden="1"/>
    </xf>
    <xf numFmtId="0" fontId="13" fillId="3" borderId="0" xfId="0" applyFont="1" applyFill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1" fillId="0" borderId="13" xfId="0" applyFont="1" applyBorder="1" applyAlignment="1" applyProtection="1">
      <alignment horizontal="left"/>
      <protection hidden="1"/>
    </xf>
    <xf numFmtId="0" fontId="1" fillId="0" borderId="3" xfId="0" quotePrefix="1" applyFont="1" applyBorder="1" applyAlignment="1" applyProtection="1">
      <alignment horizontal="center" textRotation="90"/>
      <protection hidden="1"/>
    </xf>
    <xf numFmtId="0" fontId="1" fillId="0" borderId="4" xfId="0" quotePrefix="1" applyFont="1" applyBorder="1" applyAlignment="1" applyProtection="1">
      <alignment horizontal="center" textRotation="90"/>
      <protection hidden="1"/>
    </xf>
    <xf numFmtId="0" fontId="1" fillId="0" borderId="27" xfId="0" quotePrefix="1" applyFont="1" applyBorder="1" applyAlignment="1" applyProtection="1">
      <alignment horizontal="center" textRotation="90"/>
      <protection hidden="1"/>
    </xf>
    <xf numFmtId="0" fontId="1" fillId="0" borderId="28" xfId="0" quotePrefix="1" applyFont="1" applyBorder="1" applyAlignment="1" applyProtection="1">
      <alignment horizontal="center" textRotation="90"/>
      <protection hidden="1"/>
    </xf>
    <xf numFmtId="0" fontId="1" fillId="0" borderId="26" xfId="0" quotePrefix="1" applyFont="1" applyBorder="1" applyAlignment="1" applyProtection="1">
      <alignment horizontal="center"/>
      <protection hidden="1"/>
    </xf>
    <xf numFmtId="0" fontId="10" fillId="3" borderId="0" xfId="0" applyFont="1" applyFill="1" applyAlignment="1" applyProtection="1">
      <alignment horizontal="left" vertical="center"/>
      <protection hidden="1"/>
    </xf>
    <xf numFmtId="0" fontId="10" fillId="3" borderId="7" xfId="0" applyFont="1" applyFill="1" applyBorder="1" applyAlignment="1" applyProtection="1">
      <alignment horizontal="left" vertical="center"/>
      <protection hidden="1"/>
    </xf>
    <xf numFmtId="0" fontId="10" fillId="3" borderId="0" xfId="0" applyFont="1" applyFill="1" applyAlignment="1" applyProtection="1">
      <alignment horizontal="center" vertical="center"/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1" fillId="3" borderId="9" xfId="0" applyFont="1" applyFill="1" applyBorder="1" applyAlignment="1" applyProtection="1">
      <alignment horizontal="center"/>
      <protection hidden="1"/>
    </xf>
    <xf numFmtId="1" fontId="1" fillId="3" borderId="0" xfId="1" applyNumberFormat="1" applyFont="1" applyFill="1" applyBorder="1" applyAlignment="1" applyProtection="1">
      <alignment horizontal="center"/>
      <protection hidden="1"/>
    </xf>
    <xf numFmtId="1" fontId="1" fillId="3" borderId="0" xfId="0" applyNumberFormat="1" applyFont="1" applyFill="1" applyAlignment="1" applyProtection="1">
      <alignment horizontal="center"/>
      <protection hidden="1"/>
    </xf>
    <xf numFmtId="0" fontId="1" fillId="3" borderId="15" xfId="0" applyFont="1" applyFill="1" applyBorder="1" applyAlignment="1" applyProtection="1">
      <alignment horizontal="center" vertical="center"/>
      <protection locked="0" hidden="1"/>
    </xf>
    <xf numFmtId="0" fontId="1" fillId="3" borderId="2" xfId="0" applyFont="1" applyFill="1" applyBorder="1" applyAlignment="1" applyProtection="1">
      <alignment horizontal="center" vertical="center"/>
      <protection locked="0" hidden="1"/>
    </xf>
    <xf numFmtId="0" fontId="1" fillId="3" borderId="16" xfId="0" applyFont="1" applyFill="1" applyBorder="1" applyAlignment="1" applyProtection="1">
      <alignment horizontal="center" vertical="center"/>
      <protection locked="0" hidden="1"/>
    </xf>
    <xf numFmtId="0" fontId="1" fillId="3" borderId="14" xfId="0" applyFont="1" applyFill="1" applyBorder="1" applyAlignment="1" applyProtection="1">
      <alignment horizontal="center" vertical="center"/>
      <protection locked="0" hidden="1"/>
    </xf>
    <xf numFmtId="0" fontId="1" fillId="3" borderId="5" xfId="0" applyFont="1" applyFill="1" applyBorder="1" applyAlignment="1" applyProtection="1">
      <alignment horizontal="center" vertical="center"/>
      <protection locked="0" hidden="1"/>
    </xf>
    <xf numFmtId="0" fontId="1" fillId="3" borderId="8" xfId="0" applyFont="1" applyFill="1" applyBorder="1" applyAlignment="1" applyProtection="1">
      <alignment horizontal="center" vertical="center"/>
      <protection locked="0" hidden="1"/>
    </xf>
    <xf numFmtId="0" fontId="1" fillId="3" borderId="1" xfId="0" applyFont="1" applyFill="1" applyBorder="1" applyAlignment="1" applyProtection="1">
      <alignment horizontal="left"/>
      <protection hidden="1"/>
    </xf>
    <xf numFmtId="0" fontId="1" fillId="3" borderId="11" xfId="0" applyFont="1" applyFill="1" applyBorder="1" applyAlignment="1" applyProtection="1">
      <alignment horizontal="right" vertical="center"/>
      <protection hidden="1"/>
    </xf>
    <xf numFmtId="0" fontId="1" fillId="3" borderId="12" xfId="0" applyFont="1" applyFill="1" applyBorder="1" applyAlignment="1" applyProtection="1">
      <alignment horizontal="right" vertical="center"/>
      <protection hidden="1"/>
    </xf>
    <xf numFmtId="0" fontId="1" fillId="3" borderId="10" xfId="0" applyFont="1" applyFill="1" applyBorder="1" applyAlignment="1" applyProtection="1">
      <alignment horizontal="right" vertical="center"/>
      <protection hidden="1"/>
    </xf>
    <xf numFmtId="0" fontId="1" fillId="3" borderId="14" xfId="0" applyFont="1" applyFill="1" applyBorder="1" applyAlignment="1" applyProtection="1">
      <alignment horizontal="right" vertical="center"/>
      <protection hidden="1"/>
    </xf>
    <xf numFmtId="0" fontId="1" fillId="3" borderId="5" xfId="0" applyFont="1" applyFill="1" applyBorder="1" applyAlignment="1" applyProtection="1">
      <alignment horizontal="right" vertical="center"/>
      <protection hidden="1"/>
    </xf>
    <xf numFmtId="0" fontId="1" fillId="3" borderId="8" xfId="0" applyFont="1" applyFill="1" applyBorder="1" applyAlignment="1" applyProtection="1">
      <alignment horizontal="right" vertical="center"/>
      <protection hidden="1"/>
    </xf>
    <xf numFmtId="0" fontId="1" fillId="3" borderId="14" xfId="0" applyFont="1" applyFill="1" applyBorder="1" applyAlignment="1" applyProtection="1">
      <alignment horizontal="right"/>
      <protection hidden="1"/>
    </xf>
    <xf numFmtId="0" fontId="1" fillId="3" borderId="5" xfId="0" applyFont="1" applyFill="1" applyBorder="1" applyAlignment="1" applyProtection="1">
      <alignment horizontal="right"/>
      <protection hidden="1"/>
    </xf>
    <xf numFmtId="0" fontId="1" fillId="3" borderId="8" xfId="0" applyFont="1" applyFill="1" applyBorder="1" applyAlignment="1" applyProtection="1">
      <alignment horizontal="right"/>
      <protection hidden="1"/>
    </xf>
    <xf numFmtId="0" fontId="1" fillId="3" borderId="15" xfId="0" applyFont="1" applyFill="1" applyBorder="1" applyAlignment="1" applyProtection="1">
      <alignment horizontal="center"/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1" fillId="3" borderId="16" xfId="0" applyFont="1" applyFill="1" applyBorder="1" applyAlignment="1" applyProtection="1">
      <alignment horizontal="center"/>
      <protection hidden="1"/>
    </xf>
    <xf numFmtId="0" fontId="1" fillId="3" borderId="11" xfId="0" applyFont="1" applyFill="1" applyBorder="1" applyAlignment="1" applyProtection="1">
      <alignment horizontal="center" vertical="center" wrapText="1"/>
      <protection locked="0" hidden="1"/>
    </xf>
    <xf numFmtId="0" fontId="1" fillId="3" borderId="12" xfId="0" applyFont="1" applyFill="1" applyBorder="1" applyAlignment="1" applyProtection="1">
      <alignment horizontal="center" vertical="center" wrapText="1"/>
      <protection locked="0" hidden="1"/>
    </xf>
    <xf numFmtId="0" fontId="1" fillId="3" borderId="10" xfId="0" applyFont="1" applyFill="1" applyBorder="1" applyAlignment="1" applyProtection="1">
      <alignment horizontal="center" vertical="center" wrapText="1"/>
      <protection locked="0" hidden="1"/>
    </xf>
    <xf numFmtId="0" fontId="1" fillId="3" borderId="14" xfId="0" applyFont="1" applyFill="1" applyBorder="1" applyAlignment="1" applyProtection="1">
      <alignment horizontal="center" vertical="center" wrapText="1"/>
      <protection locked="0" hidden="1"/>
    </xf>
    <xf numFmtId="0" fontId="1" fillId="3" borderId="5" xfId="0" applyFont="1" applyFill="1" applyBorder="1" applyAlignment="1" applyProtection="1">
      <alignment horizontal="center" vertical="center" wrapText="1"/>
      <protection locked="0" hidden="1"/>
    </xf>
    <xf numFmtId="0" fontId="1" fillId="3" borderId="8" xfId="0" applyFont="1" applyFill="1" applyBorder="1" applyAlignment="1" applyProtection="1">
      <alignment horizontal="center" vertical="center" wrapText="1"/>
      <protection locked="0" hidden="1"/>
    </xf>
    <xf numFmtId="0" fontId="1" fillId="3" borderId="15" xfId="0" applyFont="1" applyFill="1" applyBorder="1" applyAlignment="1" applyProtection="1">
      <alignment horizontal="right" vertical="center"/>
      <protection hidden="1"/>
    </xf>
    <xf numFmtId="0" fontId="1" fillId="3" borderId="2" xfId="0" applyFont="1" applyFill="1" applyBorder="1" applyAlignment="1" applyProtection="1">
      <alignment horizontal="right" vertical="center"/>
      <protection hidden="1"/>
    </xf>
    <xf numFmtId="0" fontId="1" fillId="3" borderId="16" xfId="0" applyFont="1" applyFill="1" applyBorder="1" applyAlignment="1" applyProtection="1">
      <alignment horizontal="right" vertical="center"/>
      <protection hidden="1"/>
    </xf>
    <xf numFmtId="0" fontId="1" fillId="3" borderId="9" xfId="0" applyFont="1" applyFill="1" applyBorder="1" applyAlignment="1" applyProtection="1">
      <alignment horizontal="center" vertical="center"/>
      <protection hidden="1"/>
    </xf>
    <xf numFmtId="0" fontId="1" fillId="3" borderId="0" xfId="0" applyFont="1" applyFill="1" applyAlignment="1" applyProtection="1">
      <alignment horizontal="center" vertical="center"/>
      <protection hidden="1"/>
    </xf>
    <xf numFmtId="0" fontId="1" fillId="3" borderId="7" xfId="0" applyFont="1" applyFill="1" applyBorder="1" applyAlignment="1" applyProtection="1">
      <alignment horizontal="center" vertical="center"/>
      <protection hidden="1"/>
    </xf>
    <xf numFmtId="1" fontId="1" fillId="3" borderId="9" xfId="0" applyNumberFormat="1" applyFont="1" applyFill="1" applyBorder="1" applyAlignment="1" applyProtection="1">
      <alignment horizontal="center" vertical="center"/>
      <protection locked="0" hidden="1"/>
    </xf>
    <xf numFmtId="1" fontId="1" fillId="3" borderId="0" xfId="0" applyNumberFormat="1" applyFont="1" applyFill="1" applyAlignment="1" applyProtection="1">
      <alignment horizontal="center" vertical="center"/>
      <protection locked="0" hidden="1"/>
    </xf>
    <xf numFmtId="1" fontId="1" fillId="3" borderId="7" xfId="0" applyNumberFormat="1" applyFont="1" applyFill="1" applyBorder="1" applyAlignment="1" applyProtection="1">
      <alignment horizontal="center" vertical="center"/>
      <protection locked="0" hidden="1"/>
    </xf>
    <xf numFmtId="1" fontId="1" fillId="3" borderId="13" xfId="0" applyNumberFormat="1" applyFont="1" applyFill="1" applyBorder="1" applyAlignment="1" applyProtection="1">
      <alignment horizontal="center" vertical="center"/>
      <protection locked="0" hidden="1"/>
    </xf>
    <xf numFmtId="1" fontId="1" fillId="3" borderId="1" xfId="0" applyNumberFormat="1" applyFont="1" applyFill="1" applyBorder="1" applyAlignment="1" applyProtection="1">
      <alignment horizontal="center" vertical="center"/>
      <protection locked="0" hidden="1"/>
    </xf>
    <xf numFmtId="1" fontId="1" fillId="3" borderId="6" xfId="0" applyNumberFormat="1" applyFont="1" applyFill="1" applyBorder="1" applyAlignment="1" applyProtection="1">
      <alignment horizontal="center" vertical="center"/>
      <protection locked="0" hidden="1"/>
    </xf>
    <xf numFmtId="0" fontId="3" fillId="3" borderId="0" xfId="0" applyFont="1" applyFill="1" applyAlignment="1" applyProtection="1">
      <alignment horizontal="left"/>
      <protection hidden="1"/>
    </xf>
    <xf numFmtId="0" fontId="6" fillId="0" borderId="31" xfId="0" quotePrefix="1" applyFont="1" applyBorder="1" applyAlignment="1" applyProtection="1">
      <alignment horizontal="center"/>
      <protection hidden="1"/>
    </xf>
    <xf numFmtId="0" fontId="1" fillId="4" borderId="32" xfId="0" quotePrefix="1" applyFont="1" applyFill="1" applyBorder="1" applyAlignment="1" applyProtection="1">
      <alignment horizontal="center"/>
      <protection hidden="1"/>
    </xf>
    <xf numFmtId="0" fontId="1" fillId="4" borderId="31" xfId="0" quotePrefix="1" applyFont="1" applyFill="1" applyBorder="1" applyAlignment="1" applyProtection="1">
      <alignment horizontal="center"/>
      <protection hidden="1"/>
    </xf>
    <xf numFmtId="0" fontId="8" fillId="5" borderId="26" xfId="0" quotePrefix="1" applyFont="1" applyFill="1" applyBorder="1" applyAlignment="1" applyProtection="1">
      <alignment horizontal="center"/>
      <protection hidden="1"/>
    </xf>
    <xf numFmtId="0" fontId="1" fillId="3" borderId="15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1" fillId="3" borderId="16" xfId="0" applyFont="1" applyFill="1" applyBorder="1" applyAlignment="1" applyProtection="1">
      <alignment horizontal="center" vertical="center"/>
      <protection hidden="1"/>
    </xf>
    <xf numFmtId="0" fontId="1" fillId="0" borderId="0" xfId="0" quotePrefix="1" applyFont="1" applyAlignment="1" applyProtection="1">
      <alignment horizontal="center" textRotation="90"/>
      <protection hidden="1"/>
    </xf>
    <xf numFmtId="0" fontId="1" fillId="0" borderId="26" xfId="0" quotePrefix="1" applyFont="1" applyBorder="1" applyAlignment="1" applyProtection="1">
      <alignment horizontal="center" textRotation="90"/>
      <protection hidden="1"/>
    </xf>
    <xf numFmtId="0" fontId="1" fillId="3" borderId="13" xfId="0" applyFont="1" applyFill="1" applyBorder="1" applyAlignment="1" applyProtection="1">
      <alignment horizontal="right" vertical="center"/>
      <protection hidden="1"/>
    </xf>
    <xf numFmtId="0" fontId="1" fillId="3" borderId="1" xfId="0" applyFont="1" applyFill="1" applyBorder="1" applyAlignment="1" applyProtection="1">
      <alignment horizontal="right" vertical="center"/>
      <protection hidden="1"/>
    </xf>
    <xf numFmtId="0" fontId="1" fillId="3" borderId="6" xfId="0" applyFont="1" applyFill="1" applyBorder="1" applyAlignment="1" applyProtection="1">
      <alignment horizontal="right" vertical="center"/>
      <protection hidden="1"/>
    </xf>
    <xf numFmtId="0" fontId="1" fillId="0" borderId="23" xfId="0" quotePrefix="1" applyFont="1" applyBorder="1" applyAlignment="1" applyProtection="1">
      <alignment horizontal="center" textRotation="90"/>
      <protection hidden="1"/>
    </xf>
    <xf numFmtId="0" fontId="1" fillId="0" borderId="68" xfId="0" quotePrefix="1" applyFont="1" applyBorder="1" applyAlignment="1" applyProtection="1">
      <alignment horizontal="center" textRotation="90"/>
      <protection hidden="1"/>
    </xf>
    <xf numFmtId="0" fontId="12" fillId="3" borderId="1" xfId="0" applyFont="1" applyFill="1" applyBorder="1" applyAlignment="1" applyProtection="1">
      <alignment horizontal="center"/>
      <protection hidden="1"/>
    </xf>
    <xf numFmtId="0" fontId="10" fillId="3" borderId="0" xfId="0" applyFont="1" applyFill="1" applyAlignment="1" applyProtection="1">
      <alignment horizontal="left" vertical="center" wrapText="1"/>
      <protection hidden="1"/>
    </xf>
    <xf numFmtId="0" fontId="10" fillId="3" borderId="7" xfId="0" applyFont="1" applyFill="1" applyBorder="1" applyAlignment="1" applyProtection="1">
      <alignment horizontal="left" vertical="center" wrapText="1"/>
      <protection hidden="1"/>
    </xf>
    <xf numFmtId="0" fontId="1" fillId="3" borderId="0" xfId="0" applyFont="1" applyFill="1" applyAlignment="1" applyProtection="1">
      <alignment horizontal="right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1" fillId="3" borderId="9" xfId="0" applyFont="1" applyFill="1" applyBorder="1" applyAlignment="1" applyProtection="1">
      <alignment horizontal="center" vertical="center"/>
      <protection locked="0" hidden="1"/>
    </xf>
    <xf numFmtId="0" fontId="1" fillId="3" borderId="0" xfId="0" applyFont="1" applyFill="1" applyAlignment="1" applyProtection="1">
      <alignment horizontal="center" vertical="center"/>
      <protection locked="0" hidden="1"/>
    </xf>
    <xf numFmtId="0" fontId="1" fillId="3" borderId="7" xfId="0" applyFont="1" applyFill="1" applyBorder="1" applyAlignment="1" applyProtection="1">
      <alignment horizontal="center" vertical="center"/>
      <protection locked="0" hidden="1"/>
    </xf>
    <xf numFmtId="9" fontId="1" fillId="3" borderId="15" xfId="0" applyNumberFormat="1" applyFont="1" applyFill="1" applyBorder="1" applyAlignment="1" applyProtection="1">
      <alignment horizontal="center" vertical="center"/>
      <protection locked="0" hidden="1"/>
    </xf>
    <xf numFmtId="9" fontId="1" fillId="3" borderId="2" xfId="0" applyNumberFormat="1" applyFont="1" applyFill="1" applyBorder="1" applyAlignment="1" applyProtection="1">
      <alignment horizontal="center" vertical="center"/>
      <protection locked="0" hidden="1"/>
    </xf>
    <xf numFmtId="9" fontId="1" fillId="3" borderId="16" xfId="0" applyNumberFormat="1" applyFont="1" applyFill="1" applyBorder="1" applyAlignment="1" applyProtection="1">
      <alignment horizontal="center" vertical="center"/>
      <protection locked="0" hidden="1"/>
    </xf>
    <xf numFmtId="9" fontId="1" fillId="3" borderId="14" xfId="0" applyNumberFormat="1" applyFont="1" applyFill="1" applyBorder="1" applyAlignment="1" applyProtection="1">
      <alignment horizontal="center" vertical="center"/>
      <protection locked="0" hidden="1"/>
    </xf>
    <xf numFmtId="9" fontId="1" fillId="3" borderId="5" xfId="0" applyNumberFormat="1" applyFont="1" applyFill="1" applyBorder="1" applyAlignment="1" applyProtection="1">
      <alignment horizontal="center" vertical="center"/>
      <protection locked="0" hidden="1"/>
    </xf>
    <xf numFmtId="9" fontId="1" fillId="3" borderId="8" xfId="0" applyNumberFormat="1" applyFont="1" applyFill="1" applyBorder="1" applyAlignment="1" applyProtection="1">
      <alignment horizontal="center" vertical="center"/>
      <protection locked="0" hidden="1"/>
    </xf>
    <xf numFmtId="0" fontId="1" fillId="0" borderId="56" xfId="0" quotePrefix="1" applyFont="1" applyBorder="1" applyAlignment="1" applyProtection="1">
      <alignment horizontal="left"/>
      <protection hidden="1"/>
    </xf>
    <xf numFmtId="0" fontId="1" fillId="0" borderId="29" xfId="0" quotePrefix="1" applyFont="1" applyBorder="1" applyAlignment="1" applyProtection="1">
      <alignment horizontal="left"/>
      <protection hidden="1"/>
    </xf>
    <xf numFmtId="0" fontId="1" fillId="0" borderId="57" xfId="0" quotePrefix="1" applyFont="1" applyBorder="1" applyAlignment="1" applyProtection="1">
      <alignment horizontal="left"/>
      <protection hidden="1"/>
    </xf>
    <xf numFmtId="9" fontId="1" fillId="0" borderId="2" xfId="0" applyNumberFormat="1" applyFont="1" applyBorder="1" applyAlignment="1" applyProtection="1">
      <alignment horizontal="left"/>
      <protection hidden="1"/>
    </xf>
    <xf numFmtId="9" fontId="1" fillId="0" borderId="16" xfId="0" applyNumberFormat="1" applyFont="1" applyBorder="1" applyAlignment="1" applyProtection="1">
      <alignment horizontal="left"/>
      <protection hidden="1"/>
    </xf>
    <xf numFmtId="0" fontId="1" fillId="6" borderId="9" xfId="0" applyFont="1" applyFill="1" applyBorder="1" applyAlignment="1" applyProtection="1">
      <alignment horizontal="center"/>
      <protection hidden="1"/>
    </xf>
    <xf numFmtId="0" fontId="1" fillId="6" borderId="7" xfId="0" applyFont="1" applyFill="1" applyBorder="1" applyAlignment="1" applyProtection="1">
      <alignment horizontal="center"/>
      <protection hidden="1"/>
    </xf>
    <xf numFmtId="0" fontId="1" fillId="6" borderId="10" xfId="0" applyFont="1" applyFill="1" applyBorder="1" applyAlignment="1" applyProtection="1">
      <alignment horizontal="center" textRotation="90" wrapText="1"/>
      <protection hidden="1"/>
    </xf>
    <xf numFmtId="0" fontId="1" fillId="6" borderId="7" xfId="0" applyFont="1" applyFill="1" applyBorder="1" applyAlignment="1" applyProtection="1">
      <alignment horizontal="center" textRotation="90" wrapText="1"/>
      <protection hidden="1"/>
    </xf>
    <xf numFmtId="0" fontId="1" fillId="6" borderId="63" xfId="0" applyFont="1" applyFill="1" applyBorder="1" applyAlignment="1" applyProtection="1">
      <alignment horizontal="center" textRotation="90" wrapText="1"/>
      <protection hidden="1"/>
    </xf>
    <xf numFmtId="9" fontId="1" fillId="0" borderId="29" xfId="0" applyNumberFormat="1" applyFont="1" applyBorder="1" applyAlignment="1" applyProtection="1">
      <alignment horizontal="left"/>
      <protection hidden="1"/>
    </xf>
    <xf numFmtId="9" fontId="1" fillId="0" borderId="57" xfId="0" applyNumberFormat="1" applyFont="1" applyBorder="1" applyAlignment="1" applyProtection="1">
      <alignment horizontal="left"/>
      <protection hidden="1"/>
    </xf>
    <xf numFmtId="9" fontId="1" fillId="0" borderId="5" xfId="0" applyNumberFormat="1" applyFont="1" applyBorder="1" applyAlignment="1" applyProtection="1">
      <alignment horizontal="left"/>
      <protection hidden="1"/>
    </xf>
    <xf numFmtId="9" fontId="1" fillId="0" borderId="8" xfId="0" applyNumberFormat="1" applyFont="1" applyBorder="1" applyAlignment="1" applyProtection="1">
      <alignment horizontal="left"/>
      <protection hidden="1"/>
    </xf>
    <xf numFmtId="0" fontId="1" fillId="2" borderId="37" xfId="0" applyFont="1" applyFill="1" applyBorder="1" applyAlignment="1" applyProtection="1">
      <alignment horizontal="center"/>
      <protection hidden="1"/>
    </xf>
    <xf numFmtId="0" fontId="1" fillId="2" borderId="5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right"/>
      <protection hidden="1"/>
    </xf>
    <xf numFmtId="0" fontId="1" fillId="0" borderId="4" xfId="0" applyFont="1" applyBorder="1" applyAlignment="1" applyProtection="1">
      <alignment horizontal="right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4" xfId="0" applyBorder="1" applyAlignment="1" applyProtection="1">
      <alignment horizontal="right"/>
      <protection hidden="1"/>
    </xf>
    <xf numFmtId="0" fontId="1" fillId="0" borderId="9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" fillId="5" borderId="12" xfId="0" applyFont="1" applyFill="1" applyBorder="1" applyAlignment="1" applyProtection="1">
      <alignment horizontal="center" vertical="center"/>
      <protection hidden="1"/>
    </xf>
    <xf numFmtId="0" fontId="1" fillId="5" borderId="9" xfId="0" applyFont="1" applyFill="1" applyBorder="1" applyAlignment="1" applyProtection="1">
      <alignment horizontal="center" vertical="center"/>
      <protection hidden="1"/>
    </xf>
    <xf numFmtId="0" fontId="1" fillId="5" borderId="0" xfId="0" applyFont="1" applyFill="1" applyAlignment="1" applyProtection="1">
      <alignment horizontal="center" vertical="center"/>
      <protection hidden="1"/>
    </xf>
    <xf numFmtId="0" fontId="1" fillId="5" borderId="7" xfId="0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" fillId="0" borderId="5" xfId="0" applyFont="1" applyBorder="1" applyAlignment="1" applyProtection="1">
      <alignment horizontal="center" vertical="center" wrapText="1"/>
      <protection hidden="1"/>
    </xf>
    <xf numFmtId="1" fontId="1" fillId="0" borderId="3" xfId="0" applyNumberFormat="1" applyFont="1" applyBorder="1" applyAlignment="1" applyProtection="1">
      <alignment horizontal="center"/>
      <protection hidden="1"/>
    </xf>
    <xf numFmtId="0" fontId="12" fillId="0" borderId="5" xfId="0" applyFont="1" applyBorder="1" applyAlignment="1" applyProtection="1">
      <alignment horizontal="center"/>
      <protection hidden="1"/>
    </xf>
    <xf numFmtId="0" fontId="1" fillId="0" borderId="0" xfId="0" applyFont="1" applyAlignment="1">
      <alignment horizontal="center"/>
    </xf>
    <xf numFmtId="0" fontId="0" fillId="0" borderId="9" xfId="0" quotePrefix="1" applyBorder="1" applyAlignment="1" applyProtection="1">
      <alignment horizontal="center"/>
      <protection hidden="1"/>
    </xf>
    <xf numFmtId="0" fontId="0" fillId="0" borderId="0" xfId="0" quotePrefix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1" fillId="0" borderId="7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0" fillId="0" borderId="0" xfId="0" quotePrefix="1" applyAlignment="1" applyProtection="1">
      <alignment horizontal="left"/>
      <protection hidden="1"/>
    </xf>
    <xf numFmtId="0" fontId="0" fillId="0" borderId="9" xfId="0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2" borderId="18" xfId="0" applyFill="1" applyBorder="1" applyAlignment="1" applyProtection="1">
      <alignment horizontal="center"/>
      <protection hidden="1"/>
    </xf>
    <xf numFmtId="0" fontId="0" fillId="2" borderId="19" xfId="0" applyFill="1" applyBorder="1" applyAlignment="1" applyProtection="1">
      <alignment horizontal="center"/>
      <protection hidden="1"/>
    </xf>
    <xf numFmtId="0" fontId="1" fillId="0" borderId="12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9" xfId="0" quotePrefix="1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textRotation="90"/>
      <protection hidden="1"/>
    </xf>
    <xf numFmtId="0" fontId="1" fillId="0" borderId="1" xfId="0" applyFont="1" applyBorder="1" applyAlignment="1" applyProtection="1">
      <alignment horizontal="center" textRotation="90"/>
      <protection hidden="1"/>
    </xf>
    <xf numFmtId="165" fontId="1" fillId="0" borderId="12" xfId="0" quotePrefix="1" applyNumberFormat="1" applyFont="1" applyBorder="1" applyAlignment="1" applyProtection="1">
      <alignment horizontal="center"/>
      <protection hidden="1"/>
    </xf>
    <xf numFmtId="165" fontId="1" fillId="0" borderId="10" xfId="0" quotePrefix="1" applyNumberFormat="1" applyFont="1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1" fillId="0" borderId="7" xfId="0" quotePrefix="1" applyFont="1" applyBorder="1" applyAlignment="1" applyProtection="1">
      <alignment horizontal="center"/>
      <protection hidden="1"/>
    </xf>
    <xf numFmtId="0" fontId="1" fillId="2" borderId="9" xfId="0" applyFont="1" applyFill="1" applyBorder="1" applyAlignment="1" applyProtection="1">
      <alignment horizontal="center" vertical="center"/>
      <protection hidden="1"/>
    </xf>
    <xf numFmtId="0" fontId="1" fillId="2" borderId="7" xfId="0" applyFont="1" applyFill="1" applyBorder="1" applyAlignment="1" applyProtection="1">
      <alignment horizontal="center" vertical="center"/>
      <protection hidden="1"/>
    </xf>
    <xf numFmtId="0" fontId="1" fillId="2" borderId="12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9" fontId="1" fillId="0" borderId="1" xfId="0" applyNumberFormat="1" applyFont="1" applyBorder="1" applyAlignment="1" applyProtection="1">
      <alignment horizontal="left"/>
      <protection hidden="1"/>
    </xf>
    <xf numFmtId="9" fontId="1" fillId="0" borderId="6" xfId="0" applyNumberFormat="1" applyFont="1" applyBorder="1" applyAlignment="1" applyProtection="1">
      <alignment horizontal="left"/>
      <protection hidden="1"/>
    </xf>
    <xf numFmtId="1" fontId="1" fillId="0" borderId="0" xfId="0" applyNumberFormat="1" applyFont="1" applyAlignment="1" applyProtection="1">
      <alignment horizontal="center"/>
      <protection hidden="1"/>
    </xf>
    <xf numFmtId="9" fontId="1" fillId="0" borderId="0" xfId="0" applyNumberFormat="1" applyFont="1" applyAlignment="1" applyProtection="1">
      <alignment horizontal="center"/>
      <protection hidden="1"/>
    </xf>
    <xf numFmtId="0" fontId="1" fillId="0" borderId="83" xfId="0" applyFont="1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left"/>
      <protection hidden="1"/>
    </xf>
    <xf numFmtId="0" fontId="1" fillId="0" borderId="9" xfId="0" applyFont="1" applyBorder="1" applyProtection="1">
      <protection hidden="1"/>
    </xf>
    <xf numFmtId="0" fontId="1" fillId="0" borderId="0" xfId="0" applyFont="1" applyProtection="1">
      <protection hidden="1"/>
    </xf>
    <xf numFmtId="0" fontId="1" fillId="6" borderId="54" xfId="0" applyFont="1" applyFill="1" applyBorder="1" applyAlignment="1" applyProtection="1">
      <alignment horizontal="center"/>
      <protection hidden="1"/>
    </xf>
    <xf numFmtId="0" fontId="1" fillId="0" borderId="57" xfId="0" applyFont="1" applyBorder="1" applyAlignment="1" applyProtection="1">
      <alignment horizontal="center"/>
      <protection hidden="1"/>
    </xf>
    <xf numFmtId="0" fontId="1" fillId="6" borderId="65" xfId="0" applyFont="1" applyFill="1" applyBorder="1" applyAlignment="1" applyProtection="1">
      <alignment horizontal="center"/>
      <protection hidden="1"/>
    </xf>
    <xf numFmtId="0" fontId="1" fillId="6" borderId="66" xfId="0" applyFont="1" applyFill="1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left"/>
      <protection hidden="1"/>
    </xf>
    <xf numFmtId="0" fontId="1" fillId="0" borderId="5" xfId="0" applyFont="1" applyBorder="1" applyAlignment="1" applyProtection="1">
      <alignment horizontal="left"/>
      <protection hidden="1"/>
    </xf>
    <xf numFmtId="0" fontId="1" fillId="0" borderId="8" xfId="0" applyFont="1" applyBorder="1" applyAlignment="1" applyProtection="1">
      <alignment horizontal="left"/>
      <protection hidden="1"/>
    </xf>
    <xf numFmtId="0" fontId="1" fillId="0" borderId="82" xfId="0" applyFont="1" applyBorder="1" applyAlignment="1" applyProtection="1">
      <alignment horizontal="left"/>
      <protection hidden="1"/>
    </xf>
    <xf numFmtId="0" fontId="1" fillId="5" borderId="56" xfId="0" applyFont="1" applyFill="1" applyBorder="1" applyAlignment="1" applyProtection="1">
      <alignment horizontal="center"/>
      <protection hidden="1"/>
    </xf>
    <xf numFmtId="0" fontId="1" fillId="5" borderId="57" xfId="0" applyFont="1" applyFill="1" applyBorder="1" applyAlignment="1" applyProtection="1">
      <alignment horizontal="center"/>
      <protection hidden="1"/>
    </xf>
    <xf numFmtId="0" fontId="1" fillId="0" borderId="64" xfId="0" applyFont="1" applyBorder="1" applyAlignment="1" applyProtection="1">
      <alignment horizontal="center"/>
      <protection hidden="1"/>
    </xf>
    <xf numFmtId="0" fontId="1" fillId="4" borderId="80" xfId="0" applyFont="1" applyFill="1" applyBorder="1" applyAlignment="1" applyProtection="1">
      <alignment horizontal="center"/>
      <protection hidden="1"/>
    </xf>
    <xf numFmtId="0" fontId="1" fillId="4" borderId="81" xfId="0" applyFont="1" applyFill="1" applyBorder="1" applyAlignment="1" applyProtection="1">
      <alignment horizontal="center"/>
      <protection hidden="1"/>
    </xf>
    <xf numFmtId="0" fontId="1" fillId="6" borderId="11" xfId="0" applyFont="1" applyFill="1" applyBorder="1" applyAlignment="1" applyProtection="1">
      <alignment horizontal="center"/>
      <protection hidden="1"/>
    </xf>
    <xf numFmtId="0" fontId="1" fillId="6" borderId="12" xfId="0" applyFont="1" applyFill="1" applyBorder="1" applyAlignment="1" applyProtection="1">
      <alignment horizontal="center"/>
      <protection hidden="1"/>
    </xf>
    <xf numFmtId="0" fontId="1" fillId="6" borderId="10" xfId="0" applyFont="1" applyFill="1" applyBorder="1" applyAlignment="1" applyProtection="1">
      <alignment horizontal="center"/>
      <protection hidden="1"/>
    </xf>
    <xf numFmtId="0" fontId="1" fillId="0" borderId="62" xfId="0" applyFont="1" applyBorder="1" applyAlignment="1" applyProtection="1">
      <alignment horizontal="left"/>
      <protection hidden="1"/>
    </xf>
    <xf numFmtId="0" fontId="1" fillId="0" borderId="26" xfId="0" applyFont="1" applyBorder="1" applyAlignment="1" applyProtection="1">
      <alignment horizontal="left"/>
      <protection hidden="1"/>
    </xf>
    <xf numFmtId="0" fontId="1" fillId="0" borderId="63" xfId="0" applyFont="1" applyBorder="1" applyAlignment="1" applyProtection="1">
      <alignment horizontal="left"/>
      <protection hidden="1"/>
    </xf>
    <xf numFmtId="0" fontId="6" fillId="0" borderId="26" xfId="0" applyFont="1" applyBorder="1" applyAlignment="1" applyProtection="1">
      <alignment horizontal="center"/>
      <protection hidden="1"/>
    </xf>
    <xf numFmtId="0" fontId="1" fillId="0" borderId="36" xfId="0" applyFont="1" applyBorder="1" applyAlignment="1" applyProtection="1">
      <alignment horizontal="center"/>
      <protection hidden="1"/>
    </xf>
    <xf numFmtId="0" fontId="1" fillId="0" borderId="75" xfId="0" applyFont="1" applyBorder="1" applyAlignment="1" applyProtection="1">
      <alignment horizontal="center"/>
      <protection hidden="1"/>
    </xf>
    <xf numFmtId="0" fontId="1" fillId="6" borderId="11" xfId="0" applyFont="1" applyFill="1" applyBorder="1" applyAlignment="1" applyProtection="1">
      <alignment horizontal="center" vertical="center"/>
      <protection hidden="1"/>
    </xf>
    <xf numFmtId="0" fontId="1" fillId="6" borderId="12" xfId="0" applyFont="1" applyFill="1" applyBorder="1" applyAlignment="1" applyProtection="1">
      <alignment horizontal="center" vertical="center"/>
      <protection hidden="1"/>
    </xf>
    <xf numFmtId="0" fontId="1" fillId="6" borderId="10" xfId="0" applyFont="1" applyFill="1" applyBorder="1" applyAlignment="1" applyProtection="1">
      <alignment horizontal="center" vertical="center"/>
      <protection hidden="1"/>
    </xf>
    <xf numFmtId="0" fontId="1" fillId="6" borderId="62" xfId="0" applyFont="1" applyFill="1" applyBorder="1" applyAlignment="1" applyProtection="1">
      <alignment horizontal="center" vertical="center"/>
      <protection hidden="1"/>
    </xf>
    <xf numFmtId="0" fontId="1" fillId="6" borderId="26" xfId="0" applyFont="1" applyFill="1" applyBorder="1" applyAlignment="1" applyProtection="1">
      <alignment horizontal="center" vertical="center"/>
      <protection hidden="1"/>
    </xf>
    <xf numFmtId="0" fontId="1" fillId="6" borderId="63" xfId="0" applyFont="1" applyFill="1" applyBorder="1" applyAlignment="1" applyProtection="1">
      <alignment horizontal="center" vertical="center"/>
      <protection hidden="1"/>
    </xf>
    <xf numFmtId="0" fontId="1" fillId="6" borderId="31" xfId="0" quotePrefix="1" applyFont="1" applyFill="1" applyBorder="1" applyAlignment="1" applyProtection="1">
      <alignment horizontal="left"/>
      <protection hidden="1"/>
    </xf>
    <xf numFmtId="0" fontId="1" fillId="6" borderId="66" xfId="0" quotePrefix="1" applyFont="1" applyFill="1" applyBorder="1" applyAlignment="1" applyProtection="1">
      <alignment horizontal="left"/>
      <protection hidden="1"/>
    </xf>
    <xf numFmtId="0" fontId="1" fillId="0" borderId="15" xfId="0" applyFont="1" applyBorder="1" applyAlignment="1" applyProtection="1">
      <alignment horizontal="left"/>
      <protection hidden="1"/>
    </xf>
    <xf numFmtId="0" fontId="1" fillId="0" borderId="2" xfId="0" applyFont="1" applyBorder="1" applyAlignment="1" applyProtection="1">
      <alignment horizontal="left"/>
      <protection hidden="1"/>
    </xf>
    <xf numFmtId="0" fontId="1" fillId="0" borderId="16" xfId="0" applyFont="1" applyBorder="1" applyAlignment="1" applyProtection="1">
      <alignment horizontal="left"/>
      <protection hidden="1"/>
    </xf>
    <xf numFmtId="0" fontId="1" fillId="4" borderId="31" xfId="0" applyFont="1" applyFill="1" applyBorder="1" applyAlignment="1" applyProtection="1">
      <alignment horizontal="center"/>
      <protection hidden="1"/>
    </xf>
    <xf numFmtId="0" fontId="1" fillId="0" borderId="13" xfId="0" quotePrefix="1" applyFont="1" applyBorder="1" applyAlignment="1" applyProtection="1">
      <alignment horizontal="center"/>
      <protection hidden="1"/>
    </xf>
    <xf numFmtId="0" fontId="1" fillId="0" borderId="18" xfId="0" quotePrefix="1" applyFont="1" applyBorder="1" applyAlignment="1" applyProtection="1">
      <alignment horizontal="center"/>
      <protection hidden="1"/>
    </xf>
    <xf numFmtId="0" fontId="1" fillId="0" borderId="17" xfId="0" quotePrefix="1" applyFont="1" applyBorder="1" applyAlignment="1" applyProtection="1">
      <alignment horizontal="center"/>
      <protection hidden="1"/>
    </xf>
    <xf numFmtId="0" fontId="1" fillId="0" borderId="19" xfId="0" quotePrefix="1" applyFont="1" applyBorder="1" applyAlignment="1" applyProtection="1">
      <alignment horizontal="center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right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hidden="1"/>
    </xf>
    <xf numFmtId="0" fontId="1" fillId="0" borderId="59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6" fillId="0" borderId="9" xfId="0" quotePrefix="1" applyFont="1" applyBorder="1" applyAlignment="1" applyProtection="1">
      <alignment horizontal="center"/>
      <protection hidden="1"/>
    </xf>
    <xf numFmtId="0" fontId="6" fillId="0" borderId="0" xfId="0" quotePrefix="1" applyFont="1" applyAlignment="1" applyProtection="1">
      <alignment horizontal="center"/>
      <protection hidden="1"/>
    </xf>
    <xf numFmtId="0" fontId="6" fillId="0" borderId="4" xfId="0" quotePrefix="1" applyFont="1" applyBorder="1" applyAlignment="1" applyProtection="1">
      <alignment horizontal="center"/>
      <protection hidden="1"/>
    </xf>
    <xf numFmtId="0" fontId="1" fillId="0" borderId="4" xfId="0" quotePrefix="1" applyFont="1" applyBorder="1" applyAlignment="1" applyProtection="1">
      <alignment horizontal="center"/>
      <protection hidden="1"/>
    </xf>
    <xf numFmtId="0" fontId="1" fillId="0" borderId="69" xfId="0" quotePrefix="1" applyFont="1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/>
      <protection hidden="1"/>
    </xf>
    <xf numFmtId="0" fontId="1" fillId="0" borderId="11" xfId="0" applyFont="1" applyBorder="1" applyAlignment="1" applyProtection="1">
      <alignment horizontal="left"/>
      <protection hidden="1"/>
    </xf>
    <xf numFmtId="0" fontId="1" fillId="0" borderId="10" xfId="0" applyFont="1" applyBorder="1" applyAlignment="1" applyProtection="1">
      <alignment horizontal="left"/>
      <protection hidden="1"/>
    </xf>
    <xf numFmtId="0" fontId="1" fillId="0" borderId="13" xfId="0" applyFont="1" applyBorder="1" applyAlignment="1" applyProtection="1">
      <alignment horizontal="right"/>
      <protection hidden="1"/>
    </xf>
    <xf numFmtId="0" fontId="1" fillId="0" borderId="1" xfId="0" applyFont="1" applyBorder="1" applyAlignment="1" applyProtection="1">
      <alignment horizontal="right"/>
      <protection hidden="1"/>
    </xf>
    <xf numFmtId="0" fontId="1" fillId="0" borderId="7" xfId="0" applyFont="1" applyBorder="1" applyAlignment="1" applyProtection="1">
      <alignment horizontal="right"/>
      <protection hidden="1"/>
    </xf>
    <xf numFmtId="0" fontId="0" fillId="2" borderId="17" xfId="0" applyFill="1" applyBorder="1" applyAlignment="1" applyProtection="1">
      <alignment horizontal="center"/>
      <protection hidden="1"/>
    </xf>
    <xf numFmtId="0" fontId="1" fillId="6" borderId="62" xfId="0" applyFont="1" applyFill="1" applyBorder="1" applyAlignment="1" applyProtection="1">
      <alignment horizontal="center"/>
      <protection hidden="1"/>
    </xf>
    <xf numFmtId="0" fontId="1" fillId="6" borderId="26" xfId="0" applyFont="1" applyFill="1" applyBorder="1" applyAlignment="1" applyProtection="1">
      <alignment horizontal="center"/>
      <protection hidden="1"/>
    </xf>
    <xf numFmtId="0" fontId="1" fillId="6" borderId="63" xfId="0" applyFont="1" applyFill="1" applyBorder="1" applyAlignment="1" applyProtection="1">
      <alignment horizontal="center"/>
      <protection hidden="1"/>
    </xf>
    <xf numFmtId="0" fontId="18" fillId="3" borderId="0" xfId="0" quotePrefix="1" applyFont="1" applyFill="1" applyAlignment="1">
      <alignment horizontal="left"/>
    </xf>
    <xf numFmtId="0" fontId="1" fillId="0" borderId="9" xfId="0" applyFont="1" applyBorder="1" applyAlignment="1" applyProtection="1">
      <alignment horizontal="center" vertical="center" wrapText="1"/>
      <protection hidden="1"/>
    </xf>
    <xf numFmtId="0" fontId="1" fillId="0" borderId="13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0" fontId="18" fillId="3" borderId="0" xfId="0" applyFont="1" applyFill="1" applyAlignment="1">
      <alignment horizontal="left"/>
    </xf>
    <xf numFmtId="0" fontId="5" fillId="3" borderId="2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9" fontId="5" fillId="3" borderId="15" xfId="0" applyNumberFormat="1" applyFont="1" applyFill="1" applyBorder="1" applyAlignment="1" applyProtection="1">
      <alignment horizontal="center" vertical="center"/>
      <protection locked="0"/>
    </xf>
    <xf numFmtId="9" fontId="5" fillId="3" borderId="2" xfId="0" applyNumberFormat="1" applyFont="1" applyFill="1" applyBorder="1" applyAlignment="1" applyProtection="1">
      <alignment horizontal="center" vertical="center"/>
      <protection locked="0"/>
    </xf>
    <xf numFmtId="9" fontId="5" fillId="3" borderId="16" xfId="0" applyNumberFormat="1" applyFont="1" applyFill="1" applyBorder="1" applyAlignment="1" applyProtection="1">
      <alignment horizontal="center" vertical="center"/>
      <protection locked="0"/>
    </xf>
    <xf numFmtId="9" fontId="5" fillId="3" borderId="14" xfId="0" applyNumberFormat="1" applyFont="1" applyFill="1" applyBorder="1" applyAlignment="1" applyProtection="1">
      <alignment horizontal="center" vertical="center"/>
      <protection locked="0"/>
    </xf>
    <xf numFmtId="9" fontId="5" fillId="3" borderId="5" xfId="0" applyNumberFormat="1" applyFont="1" applyFill="1" applyBorder="1" applyAlignment="1" applyProtection="1">
      <alignment horizontal="center" vertical="center"/>
      <protection locked="0"/>
    </xf>
    <xf numFmtId="9" fontId="5" fillId="3" borderId="8" xfId="0" applyNumberFormat="1" applyFont="1" applyFill="1" applyBorder="1" applyAlignment="1" applyProtection="1">
      <alignment horizontal="center" vertical="center"/>
      <protection locked="0"/>
    </xf>
    <xf numFmtId="0" fontId="13" fillId="3" borderId="23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3" borderId="1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13" fillId="3" borderId="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/>
    </xf>
    <xf numFmtId="0" fontId="5" fillId="3" borderId="0" xfId="0" applyFont="1" applyFill="1" applyAlignment="1">
      <alignment horizontal="left"/>
    </xf>
    <xf numFmtId="0" fontId="5" fillId="3" borderId="9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18" fillId="3" borderId="0" xfId="0" quotePrefix="1" applyFont="1" applyFill="1" applyAlignment="1">
      <alignment horizontal="left" vertical="top" wrapText="1"/>
    </xf>
    <xf numFmtId="0" fontId="13" fillId="3" borderId="0" xfId="0" applyFont="1" applyFill="1" applyAlignment="1">
      <alignment horizontal="center" vertical="top"/>
    </xf>
    <xf numFmtId="0" fontId="16" fillId="3" borderId="0" xfId="0" applyFont="1" applyFill="1" applyAlignment="1" applyProtection="1">
      <alignment horizontal="center" vertical="center"/>
      <protection locked="0"/>
    </xf>
    <xf numFmtId="0" fontId="17" fillId="3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</cellXfs>
  <cellStyles count="3">
    <cellStyle name="Komma" xfId="2" builtinId="3"/>
    <cellStyle name="Procent" xfId="1" builtinId="5"/>
    <cellStyle name="Standaard" xfId="0" builtinId="0"/>
  </cellStyles>
  <dxfs count="14">
    <dxf>
      <font>
        <color theme="0"/>
      </font>
    </dxf>
    <dxf>
      <font>
        <color theme="0"/>
      </font>
    </dxf>
    <dxf>
      <font>
        <color theme="0"/>
      </font>
    </dxf>
    <dxf>
      <border>
        <left style="thin">
          <color auto="1"/>
        </left>
        <vertical/>
        <horizontal/>
      </border>
    </dxf>
    <dxf>
      <border>
        <right style="thin">
          <color auto="1"/>
        </right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border>
        <left style="thin">
          <color auto="1"/>
        </left>
        <vertical/>
        <horizontal/>
      </border>
    </dxf>
    <dxf>
      <border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border>
        <left style="thin">
          <color auto="1"/>
        </left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A05599"/>
      <color rgb="FF6B065A"/>
      <color rgb="FFA052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3" Type="http://schemas.openxmlformats.org/officeDocument/2006/relationships/image" Target="../media/image3.emf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1" Type="http://schemas.openxmlformats.org/officeDocument/2006/relationships/image" Target="../media/image1.emf"/><Relationship Id="rId6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1.emf"/><Relationship Id="rId1" Type="http://schemas.openxmlformats.org/officeDocument/2006/relationships/image" Target="../media/image50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0</xdr:rowOff>
        </xdr:from>
        <xdr:to>
          <xdr:col>31</xdr:col>
          <xdr:colOff>7696</xdr:colOff>
          <xdr:row>37</xdr:row>
          <xdr:rowOff>179213</xdr:rowOff>
        </xdr:to>
        <xdr:pic>
          <xdr:nvPicPr>
            <xdr:cNvPr id="4" name="Afbeelding 3">
              <a:extLst>
                <a:ext uri="{FF2B5EF4-FFF2-40B4-BE49-F238E27FC236}">
                  <a16:creationId xmlns:a16="http://schemas.microsoft.com/office/drawing/2014/main" id="{504CEA5C-C6D5-4508-A2D8-B40E0DDBF41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AFBEELDING" spid="_x0000_s1591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585882" y="5390029"/>
              <a:ext cx="5487373" cy="1893713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6</xdr:col>
      <xdr:colOff>129998</xdr:colOff>
      <xdr:row>0</xdr:row>
      <xdr:rowOff>123264</xdr:rowOff>
    </xdr:from>
    <xdr:to>
      <xdr:col>20</xdr:col>
      <xdr:colOff>22983</xdr:colOff>
      <xdr:row>6</xdr:row>
      <xdr:rowOff>27100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A4A9BD9-3E9F-42C2-BC3A-BF93B7A2E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67763" y="123264"/>
          <a:ext cx="3927102" cy="105804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</xdr:colOff>
          <xdr:row>30</xdr:row>
          <xdr:rowOff>134470</xdr:rowOff>
        </xdr:from>
        <xdr:to>
          <xdr:col>12</xdr:col>
          <xdr:colOff>2157</xdr:colOff>
          <xdr:row>38</xdr:row>
          <xdr:rowOff>100408</xdr:rowOff>
        </xdr:to>
        <xdr:pic>
          <xdr:nvPicPr>
            <xdr:cNvPr id="97" name="Afbeelding 96">
              <a:extLst>
                <a:ext uri="{FF2B5EF4-FFF2-40B4-BE49-F238E27FC236}">
                  <a16:creationId xmlns:a16="http://schemas.microsoft.com/office/drawing/2014/main" id="{7398CC88-A991-475D-B9B2-DDF239486D1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Foto_band" spid="_x0000_s15918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1" y="5695605"/>
              <a:ext cx="3579418" cy="148993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139</xdr:col>
      <xdr:colOff>54428</xdr:colOff>
      <xdr:row>597</xdr:row>
      <xdr:rowOff>38419</xdr:rowOff>
    </xdr:from>
    <xdr:to>
      <xdr:col>139</xdr:col>
      <xdr:colOff>3032114</xdr:colOff>
      <xdr:row>597</xdr:row>
      <xdr:rowOff>1183820</xdr:rowOff>
    </xdr:to>
    <xdr:pic>
      <xdr:nvPicPr>
        <xdr:cNvPr id="90" name="Afbeelding 89">
          <a:extLst>
            <a:ext uri="{FF2B5EF4-FFF2-40B4-BE49-F238E27FC236}">
              <a16:creationId xmlns:a16="http://schemas.microsoft.com/office/drawing/2014/main" id="{D4F82ABA-93BB-4BE5-AA8E-0D3D77A11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0800000">
          <a:off x="2555847252" y="1421650272"/>
          <a:ext cx="2977686" cy="1145401"/>
        </a:xfrm>
        <a:prstGeom prst="rect">
          <a:avLst/>
        </a:prstGeom>
      </xdr:spPr>
    </xdr:pic>
    <xdr:clientData/>
  </xdr:twoCellAnchor>
  <xdr:twoCellAnchor editAs="oneCell">
    <xdr:from>
      <xdr:col>139</xdr:col>
      <xdr:colOff>190500</xdr:colOff>
      <xdr:row>596</xdr:row>
      <xdr:rowOff>65678</xdr:rowOff>
    </xdr:from>
    <xdr:to>
      <xdr:col>139</xdr:col>
      <xdr:colOff>2916589</xdr:colOff>
      <xdr:row>596</xdr:row>
      <xdr:rowOff>1131794</xdr:rowOff>
    </xdr:to>
    <xdr:pic>
      <xdr:nvPicPr>
        <xdr:cNvPr id="88" name="Afbeelding 87">
          <a:extLst>
            <a:ext uri="{FF2B5EF4-FFF2-40B4-BE49-F238E27FC236}">
              <a16:creationId xmlns:a16="http://schemas.microsoft.com/office/drawing/2014/main" id="{14D1271A-6CBC-415E-A730-7B239F6AA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55983324" y="1420456090"/>
          <a:ext cx="2726089" cy="1066116"/>
        </a:xfrm>
        <a:prstGeom prst="rect">
          <a:avLst/>
        </a:prstGeom>
      </xdr:spPr>
    </xdr:pic>
    <xdr:clientData/>
  </xdr:twoCellAnchor>
  <xdr:twoCellAnchor editAs="oneCell">
    <xdr:from>
      <xdr:col>137</xdr:col>
      <xdr:colOff>168082</xdr:colOff>
      <xdr:row>595</xdr:row>
      <xdr:rowOff>0</xdr:rowOff>
    </xdr:from>
    <xdr:to>
      <xdr:col>139</xdr:col>
      <xdr:colOff>225303</xdr:colOff>
      <xdr:row>600</xdr:row>
      <xdr:rowOff>169835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70B380EC-960B-4B86-A620-1AD7C287A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0182607" y="113585625"/>
          <a:ext cx="647771" cy="2798733"/>
        </a:xfrm>
        <a:prstGeom prst="rect">
          <a:avLst/>
        </a:prstGeom>
      </xdr:spPr>
    </xdr:pic>
    <xdr:clientData/>
  </xdr:twoCellAnchor>
  <xdr:twoCellAnchor editAs="oneCell">
    <xdr:from>
      <xdr:col>139</xdr:col>
      <xdr:colOff>2857500</xdr:colOff>
      <xdr:row>595</xdr:row>
      <xdr:rowOff>112058</xdr:rowOff>
    </xdr:from>
    <xdr:to>
      <xdr:col>140</xdr:col>
      <xdr:colOff>404044</xdr:colOff>
      <xdr:row>601</xdr:row>
      <xdr:rowOff>91393</xdr:rowOff>
    </xdr:to>
    <xdr:pic>
      <xdr:nvPicPr>
        <xdr:cNvPr id="91" name="Afbeelding 90">
          <a:extLst>
            <a:ext uri="{FF2B5EF4-FFF2-40B4-BE49-F238E27FC236}">
              <a16:creationId xmlns:a16="http://schemas.microsoft.com/office/drawing/2014/main" id="{3674D1EC-C248-425B-992C-00F979A74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4127964" y="113650058"/>
          <a:ext cx="648973" cy="2809617"/>
        </a:xfrm>
        <a:prstGeom prst="rect">
          <a:avLst/>
        </a:prstGeom>
      </xdr:spPr>
    </xdr:pic>
    <xdr:clientData/>
  </xdr:twoCellAnchor>
  <xdr:twoCellAnchor editAs="oneCell">
    <xdr:from>
      <xdr:col>146</xdr:col>
      <xdr:colOff>0</xdr:colOff>
      <xdr:row>601</xdr:row>
      <xdr:rowOff>0</xdr:rowOff>
    </xdr:from>
    <xdr:to>
      <xdr:col>147</xdr:col>
      <xdr:colOff>0</xdr:colOff>
      <xdr:row>602</xdr:row>
      <xdr:rowOff>54081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D51EE9EF-B592-B3C4-DD9B-437813D44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262559" y="116507559"/>
          <a:ext cx="5524500" cy="1911857"/>
        </a:xfrm>
        <a:prstGeom prst="rect">
          <a:avLst/>
        </a:prstGeom>
      </xdr:spPr>
    </xdr:pic>
    <xdr:clientData/>
  </xdr:twoCellAnchor>
  <xdr:twoCellAnchor editAs="oneCell">
    <xdr:from>
      <xdr:col>142</xdr:col>
      <xdr:colOff>0</xdr:colOff>
      <xdr:row>601</xdr:row>
      <xdr:rowOff>0</xdr:rowOff>
    </xdr:from>
    <xdr:to>
      <xdr:col>143</xdr:col>
      <xdr:colOff>0</xdr:colOff>
      <xdr:row>602</xdr:row>
      <xdr:rowOff>47690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7D9CFF62-C322-0D70-4D33-48481A167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9350706" y="116507559"/>
          <a:ext cx="5524500" cy="1905466"/>
        </a:xfrm>
        <a:prstGeom prst="rect">
          <a:avLst/>
        </a:prstGeom>
      </xdr:spPr>
    </xdr:pic>
    <xdr:clientData/>
  </xdr:twoCellAnchor>
  <xdr:twoCellAnchor editAs="oneCell">
    <xdr:from>
      <xdr:col>142</xdr:col>
      <xdr:colOff>0</xdr:colOff>
      <xdr:row>619</xdr:row>
      <xdr:rowOff>1</xdr:rowOff>
    </xdr:from>
    <xdr:to>
      <xdr:col>143</xdr:col>
      <xdr:colOff>0</xdr:colOff>
      <xdr:row>620</xdr:row>
      <xdr:rowOff>32554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95C08005-BF77-79DD-4C2F-70B870193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115107" y="150290894"/>
          <a:ext cx="5524500" cy="1896731"/>
        </a:xfrm>
        <a:prstGeom prst="rect">
          <a:avLst/>
        </a:prstGeom>
      </xdr:spPr>
    </xdr:pic>
    <xdr:clientData/>
  </xdr:twoCellAnchor>
  <xdr:twoCellAnchor editAs="oneCell">
    <xdr:from>
      <xdr:col>141</xdr:col>
      <xdr:colOff>462641</xdr:colOff>
      <xdr:row>614</xdr:row>
      <xdr:rowOff>0</xdr:rowOff>
    </xdr:from>
    <xdr:to>
      <xdr:col>142</xdr:col>
      <xdr:colOff>5524499</xdr:colOff>
      <xdr:row>615</xdr:row>
      <xdr:rowOff>41491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62BB15D5-DEC7-55B2-7614-119FB59E1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0115105" y="140970000"/>
          <a:ext cx="5524501" cy="1905669"/>
        </a:xfrm>
        <a:prstGeom prst="rect">
          <a:avLst/>
        </a:prstGeom>
      </xdr:spPr>
    </xdr:pic>
    <xdr:clientData/>
  </xdr:twoCellAnchor>
  <xdr:twoCellAnchor editAs="oneCell">
    <xdr:from>
      <xdr:col>142</xdr:col>
      <xdr:colOff>0</xdr:colOff>
      <xdr:row>617</xdr:row>
      <xdr:rowOff>0</xdr:rowOff>
    </xdr:from>
    <xdr:to>
      <xdr:col>143</xdr:col>
      <xdr:colOff>0</xdr:colOff>
      <xdr:row>618</xdr:row>
      <xdr:rowOff>41490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409486C9-7435-45FB-B74E-D6AE6AC55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0115107" y="146562536"/>
          <a:ext cx="5524500" cy="1905668"/>
        </a:xfrm>
        <a:prstGeom prst="rect">
          <a:avLst/>
        </a:prstGeom>
      </xdr:spPr>
    </xdr:pic>
    <xdr:clientData/>
  </xdr:twoCellAnchor>
  <xdr:twoCellAnchor editAs="oneCell">
    <xdr:from>
      <xdr:col>140</xdr:col>
      <xdr:colOff>0</xdr:colOff>
      <xdr:row>614</xdr:row>
      <xdr:rowOff>0</xdr:rowOff>
    </xdr:from>
    <xdr:to>
      <xdr:col>141</xdr:col>
      <xdr:colOff>0</xdr:colOff>
      <xdr:row>615</xdr:row>
      <xdr:rowOff>35979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7BAE91C5-99A5-5C3D-DAB2-C8355992B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3988182" y="142407409"/>
          <a:ext cx="5524500" cy="1906341"/>
        </a:xfrm>
        <a:prstGeom prst="rect">
          <a:avLst/>
        </a:prstGeom>
      </xdr:spPr>
    </xdr:pic>
    <xdr:clientData/>
  </xdr:twoCellAnchor>
  <xdr:twoCellAnchor editAs="oneCell">
    <xdr:from>
      <xdr:col>140</xdr:col>
      <xdr:colOff>0</xdr:colOff>
      <xdr:row>617</xdr:row>
      <xdr:rowOff>0</xdr:rowOff>
    </xdr:from>
    <xdr:to>
      <xdr:col>141</xdr:col>
      <xdr:colOff>0</xdr:colOff>
      <xdr:row>618</xdr:row>
      <xdr:rowOff>35979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9450C2F7-EE2F-4686-94E0-F016F002B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4127964" y="146562536"/>
          <a:ext cx="5524500" cy="1900157"/>
        </a:xfrm>
        <a:prstGeom prst="rect">
          <a:avLst/>
        </a:prstGeom>
      </xdr:spPr>
    </xdr:pic>
    <xdr:clientData/>
  </xdr:twoCellAnchor>
  <xdr:twoCellAnchor editAs="oneCell">
    <xdr:from>
      <xdr:col>140</xdr:col>
      <xdr:colOff>0</xdr:colOff>
      <xdr:row>601</xdr:row>
      <xdr:rowOff>0</xdr:rowOff>
    </xdr:from>
    <xdr:to>
      <xdr:col>141</xdr:col>
      <xdr:colOff>0</xdr:colOff>
      <xdr:row>602</xdr:row>
      <xdr:rowOff>42289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id="{6F7E8813-C1E2-C2F8-94BF-108499476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3366765" y="116507559"/>
          <a:ext cx="5524500" cy="1900065"/>
        </a:xfrm>
        <a:prstGeom prst="rect">
          <a:avLst/>
        </a:prstGeom>
      </xdr:spPr>
    </xdr:pic>
    <xdr:clientData/>
  </xdr:twoCellAnchor>
  <xdr:twoCellAnchor editAs="oneCell">
    <xdr:from>
      <xdr:col>144</xdr:col>
      <xdr:colOff>0</xdr:colOff>
      <xdr:row>601</xdr:row>
      <xdr:rowOff>0</xdr:rowOff>
    </xdr:from>
    <xdr:to>
      <xdr:col>145</xdr:col>
      <xdr:colOff>0</xdr:colOff>
      <xdr:row>602</xdr:row>
      <xdr:rowOff>41053</xdr:rowOff>
    </xdr:to>
    <xdr:pic>
      <xdr:nvPicPr>
        <xdr:cNvPr id="32" name="Afbeelding 31">
          <a:extLst>
            <a:ext uri="{FF2B5EF4-FFF2-40B4-BE49-F238E27FC236}">
              <a16:creationId xmlns:a16="http://schemas.microsoft.com/office/drawing/2014/main" id="{6F94251D-AFB7-916A-1218-3F25D60D8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5278618" y="116507559"/>
          <a:ext cx="5524500" cy="1898829"/>
        </a:xfrm>
        <a:prstGeom prst="rect">
          <a:avLst/>
        </a:prstGeom>
      </xdr:spPr>
    </xdr:pic>
    <xdr:clientData/>
  </xdr:twoCellAnchor>
  <xdr:twoCellAnchor editAs="oneCell">
    <xdr:from>
      <xdr:col>140</xdr:col>
      <xdr:colOff>0</xdr:colOff>
      <xdr:row>619</xdr:row>
      <xdr:rowOff>1</xdr:rowOff>
    </xdr:from>
    <xdr:to>
      <xdr:col>141</xdr:col>
      <xdr:colOff>0</xdr:colOff>
      <xdr:row>620</xdr:row>
      <xdr:rowOff>37380</xdr:rowOff>
    </xdr:to>
    <xdr:pic>
      <xdr:nvPicPr>
        <xdr:cNvPr id="35" name="Afbeelding 34">
          <a:extLst>
            <a:ext uri="{FF2B5EF4-FFF2-40B4-BE49-F238E27FC236}">
              <a16:creationId xmlns:a16="http://schemas.microsoft.com/office/drawing/2014/main" id="{E61D40AE-718B-AF0D-91D5-19F959C8C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3988182" y="151759228"/>
          <a:ext cx="5524500" cy="1907741"/>
        </a:xfrm>
        <a:prstGeom prst="rect">
          <a:avLst/>
        </a:prstGeom>
      </xdr:spPr>
    </xdr:pic>
    <xdr:clientData/>
  </xdr:twoCellAnchor>
  <xdr:twoCellAnchor editAs="oneCell">
    <xdr:from>
      <xdr:col>140</xdr:col>
      <xdr:colOff>0</xdr:colOff>
      <xdr:row>604</xdr:row>
      <xdr:rowOff>0</xdr:rowOff>
    </xdr:from>
    <xdr:to>
      <xdr:col>141</xdr:col>
      <xdr:colOff>0</xdr:colOff>
      <xdr:row>605</xdr:row>
      <xdr:rowOff>54061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E47CF7CC-0B6F-9955-3347-B3BB6AF9A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3988182" y="123703773"/>
          <a:ext cx="5524500" cy="1910818"/>
        </a:xfrm>
        <a:prstGeom prst="rect">
          <a:avLst/>
        </a:prstGeom>
      </xdr:spPr>
    </xdr:pic>
    <xdr:clientData/>
  </xdr:twoCellAnchor>
  <xdr:twoCellAnchor editAs="oneCell">
    <xdr:from>
      <xdr:col>142</xdr:col>
      <xdr:colOff>0</xdr:colOff>
      <xdr:row>604</xdr:row>
      <xdr:rowOff>0</xdr:rowOff>
    </xdr:from>
    <xdr:to>
      <xdr:col>143</xdr:col>
      <xdr:colOff>0</xdr:colOff>
      <xdr:row>605</xdr:row>
      <xdr:rowOff>45638</xdr:rowOff>
    </xdr:to>
    <xdr:pic>
      <xdr:nvPicPr>
        <xdr:cNvPr id="41" name="Afbeelding 40">
          <a:extLst>
            <a:ext uri="{FF2B5EF4-FFF2-40B4-BE49-F238E27FC236}">
              <a16:creationId xmlns:a16="http://schemas.microsoft.com/office/drawing/2014/main" id="{A896E395-88D0-C7A5-43FC-65097682A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0115107" y="122205750"/>
          <a:ext cx="5524500" cy="1909818"/>
        </a:xfrm>
        <a:prstGeom prst="rect">
          <a:avLst/>
        </a:prstGeom>
      </xdr:spPr>
    </xdr:pic>
    <xdr:clientData/>
  </xdr:twoCellAnchor>
  <xdr:twoCellAnchor editAs="oneCell">
    <xdr:from>
      <xdr:col>142</xdr:col>
      <xdr:colOff>0</xdr:colOff>
      <xdr:row>618</xdr:row>
      <xdr:rowOff>0</xdr:rowOff>
    </xdr:from>
    <xdr:to>
      <xdr:col>143</xdr:col>
      <xdr:colOff>0</xdr:colOff>
      <xdr:row>619</xdr:row>
      <xdr:rowOff>28448</xdr:rowOff>
    </xdr:to>
    <xdr:pic>
      <xdr:nvPicPr>
        <xdr:cNvPr id="43" name="Afbeelding 42">
          <a:extLst>
            <a:ext uri="{FF2B5EF4-FFF2-40B4-BE49-F238E27FC236}">
              <a16:creationId xmlns:a16="http://schemas.microsoft.com/office/drawing/2014/main" id="{97BD44CF-C142-2A05-CEF3-57EDBD5A6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0115107" y="148426714"/>
          <a:ext cx="5524500" cy="1892629"/>
        </a:xfrm>
        <a:prstGeom prst="rect">
          <a:avLst/>
        </a:prstGeom>
      </xdr:spPr>
    </xdr:pic>
    <xdr:clientData/>
  </xdr:twoCellAnchor>
  <xdr:twoCellAnchor editAs="oneCell">
    <xdr:from>
      <xdr:col>142</xdr:col>
      <xdr:colOff>0</xdr:colOff>
      <xdr:row>615</xdr:row>
      <xdr:rowOff>0</xdr:rowOff>
    </xdr:from>
    <xdr:to>
      <xdr:col>143</xdr:col>
      <xdr:colOff>0</xdr:colOff>
      <xdr:row>616</xdr:row>
      <xdr:rowOff>26252</xdr:rowOff>
    </xdr:to>
    <xdr:pic>
      <xdr:nvPicPr>
        <xdr:cNvPr id="44" name="Afbeelding 43">
          <a:extLst>
            <a:ext uri="{FF2B5EF4-FFF2-40B4-BE49-F238E27FC236}">
              <a16:creationId xmlns:a16="http://schemas.microsoft.com/office/drawing/2014/main" id="{0AD25C51-4DFB-DFB2-5E61-7B7246023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0115107" y="142834179"/>
          <a:ext cx="5524500" cy="1890430"/>
        </a:xfrm>
        <a:prstGeom prst="rect">
          <a:avLst/>
        </a:prstGeom>
      </xdr:spPr>
    </xdr:pic>
    <xdr:clientData/>
  </xdr:twoCellAnchor>
  <xdr:twoCellAnchor editAs="oneCell">
    <xdr:from>
      <xdr:col>142</xdr:col>
      <xdr:colOff>0</xdr:colOff>
      <xdr:row>605</xdr:row>
      <xdr:rowOff>0</xdr:rowOff>
    </xdr:from>
    <xdr:to>
      <xdr:col>143</xdr:col>
      <xdr:colOff>0</xdr:colOff>
      <xdr:row>606</xdr:row>
      <xdr:rowOff>42773</xdr:rowOff>
    </xdr:to>
    <xdr:pic>
      <xdr:nvPicPr>
        <xdr:cNvPr id="45" name="Afbeelding 44">
          <a:extLst>
            <a:ext uri="{FF2B5EF4-FFF2-40B4-BE49-F238E27FC236}">
              <a16:creationId xmlns:a16="http://schemas.microsoft.com/office/drawing/2014/main" id="{5A16B90D-42C5-8AD7-355C-2A1D66EF6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0115107" y="124083536"/>
          <a:ext cx="5524500" cy="1906951"/>
        </a:xfrm>
        <a:prstGeom prst="rect">
          <a:avLst/>
        </a:prstGeom>
      </xdr:spPr>
    </xdr:pic>
    <xdr:clientData/>
  </xdr:twoCellAnchor>
  <xdr:twoCellAnchor editAs="oneCell">
    <xdr:from>
      <xdr:col>142</xdr:col>
      <xdr:colOff>0</xdr:colOff>
      <xdr:row>606</xdr:row>
      <xdr:rowOff>1</xdr:rowOff>
    </xdr:from>
    <xdr:to>
      <xdr:col>143</xdr:col>
      <xdr:colOff>0</xdr:colOff>
      <xdr:row>607</xdr:row>
      <xdr:rowOff>40550</xdr:rowOff>
    </xdr:to>
    <xdr:pic>
      <xdr:nvPicPr>
        <xdr:cNvPr id="48" name="Afbeelding 47">
          <a:extLst>
            <a:ext uri="{FF2B5EF4-FFF2-40B4-BE49-F238E27FC236}">
              <a16:creationId xmlns:a16="http://schemas.microsoft.com/office/drawing/2014/main" id="{E38BE60A-F181-EF66-694A-F956F2FEE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0115107" y="125961322"/>
          <a:ext cx="5524500" cy="1904727"/>
        </a:xfrm>
        <a:prstGeom prst="rect">
          <a:avLst/>
        </a:prstGeom>
      </xdr:spPr>
    </xdr:pic>
    <xdr:clientData/>
  </xdr:twoCellAnchor>
  <xdr:twoCellAnchor editAs="oneCell">
    <xdr:from>
      <xdr:col>140</xdr:col>
      <xdr:colOff>1</xdr:colOff>
      <xdr:row>606</xdr:row>
      <xdr:rowOff>1</xdr:rowOff>
    </xdr:from>
    <xdr:to>
      <xdr:col>141</xdr:col>
      <xdr:colOff>1</xdr:colOff>
      <xdr:row>607</xdr:row>
      <xdr:rowOff>42160</xdr:rowOff>
    </xdr:to>
    <xdr:pic>
      <xdr:nvPicPr>
        <xdr:cNvPr id="49" name="Afbeelding 48">
          <a:extLst>
            <a:ext uri="{FF2B5EF4-FFF2-40B4-BE49-F238E27FC236}">
              <a16:creationId xmlns:a16="http://schemas.microsoft.com/office/drawing/2014/main" id="{E04D894A-A12A-CFC5-C0AF-C57E0C91C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3988183" y="127444501"/>
          <a:ext cx="5524500" cy="1898916"/>
        </a:xfrm>
        <a:prstGeom prst="rect">
          <a:avLst/>
        </a:prstGeom>
      </xdr:spPr>
    </xdr:pic>
    <xdr:clientData/>
  </xdr:twoCellAnchor>
  <xdr:twoCellAnchor editAs="oneCell">
    <xdr:from>
      <xdr:col>140</xdr:col>
      <xdr:colOff>0</xdr:colOff>
      <xdr:row>605</xdr:row>
      <xdr:rowOff>0</xdr:rowOff>
    </xdr:from>
    <xdr:to>
      <xdr:col>141</xdr:col>
      <xdr:colOff>0</xdr:colOff>
      <xdr:row>606</xdr:row>
      <xdr:rowOff>45123</xdr:rowOff>
    </xdr:to>
    <xdr:pic>
      <xdr:nvPicPr>
        <xdr:cNvPr id="51" name="Afbeelding 50">
          <a:extLst>
            <a:ext uri="{FF2B5EF4-FFF2-40B4-BE49-F238E27FC236}">
              <a16:creationId xmlns:a16="http://schemas.microsoft.com/office/drawing/2014/main" id="{C6C91848-AFEA-30FA-FCF9-697FFA7EC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3988182" y="125574136"/>
          <a:ext cx="5524500" cy="1901877"/>
        </a:xfrm>
        <a:prstGeom prst="rect">
          <a:avLst/>
        </a:prstGeom>
      </xdr:spPr>
    </xdr:pic>
    <xdr:clientData/>
  </xdr:twoCellAnchor>
  <xdr:twoCellAnchor editAs="oneCell">
    <xdr:from>
      <xdr:col>140</xdr:col>
      <xdr:colOff>0</xdr:colOff>
      <xdr:row>615</xdr:row>
      <xdr:rowOff>0</xdr:rowOff>
    </xdr:from>
    <xdr:to>
      <xdr:col>141</xdr:col>
      <xdr:colOff>0</xdr:colOff>
      <xdr:row>616</xdr:row>
      <xdr:rowOff>30097</xdr:rowOff>
    </xdr:to>
    <xdr:pic>
      <xdr:nvPicPr>
        <xdr:cNvPr id="56" name="Afbeelding 55">
          <a:extLst>
            <a:ext uri="{FF2B5EF4-FFF2-40B4-BE49-F238E27FC236}">
              <a16:creationId xmlns:a16="http://schemas.microsoft.com/office/drawing/2014/main" id="{54C7E969-BBF8-CFF7-DC74-3CD0AE577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3988182" y="144277773"/>
          <a:ext cx="5524500" cy="1900461"/>
        </a:xfrm>
        <a:prstGeom prst="rect">
          <a:avLst/>
        </a:prstGeom>
      </xdr:spPr>
    </xdr:pic>
    <xdr:clientData/>
  </xdr:twoCellAnchor>
  <xdr:twoCellAnchor editAs="oneCell">
    <xdr:from>
      <xdr:col>140</xdr:col>
      <xdr:colOff>0</xdr:colOff>
      <xdr:row>612</xdr:row>
      <xdr:rowOff>0</xdr:rowOff>
    </xdr:from>
    <xdr:to>
      <xdr:col>141</xdr:col>
      <xdr:colOff>0</xdr:colOff>
      <xdr:row>613</xdr:row>
      <xdr:rowOff>33219</xdr:rowOff>
    </xdr:to>
    <xdr:pic>
      <xdr:nvPicPr>
        <xdr:cNvPr id="57" name="Afbeelding 56">
          <a:extLst>
            <a:ext uri="{FF2B5EF4-FFF2-40B4-BE49-F238E27FC236}">
              <a16:creationId xmlns:a16="http://schemas.microsoft.com/office/drawing/2014/main" id="{884F1926-7D64-27F0-C13E-0F54CA4C0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3988182" y="138666682"/>
          <a:ext cx="5524500" cy="1903587"/>
        </a:xfrm>
        <a:prstGeom prst="rect">
          <a:avLst/>
        </a:prstGeom>
      </xdr:spPr>
    </xdr:pic>
    <xdr:clientData/>
  </xdr:twoCellAnchor>
  <xdr:twoCellAnchor editAs="oneCell">
    <xdr:from>
      <xdr:col>140</xdr:col>
      <xdr:colOff>0</xdr:colOff>
      <xdr:row>610</xdr:row>
      <xdr:rowOff>0</xdr:rowOff>
    </xdr:from>
    <xdr:to>
      <xdr:col>141</xdr:col>
      <xdr:colOff>0</xdr:colOff>
      <xdr:row>611</xdr:row>
      <xdr:rowOff>45259</xdr:rowOff>
    </xdr:to>
    <xdr:pic>
      <xdr:nvPicPr>
        <xdr:cNvPr id="58" name="Afbeelding 57">
          <a:extLst>
            <a:ext uri="{FF2B5EF4-FFF2-40B4-BE49-F238E27FC236}">
              <a16:creationId xmlns:a16="http://schemas.microsoft.com/office/drawing/2014/main" id="{A3A161EB-F73A-2729-F8AE-1C71CF95F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4127964" y="133472464"/>
          <a:ext cx="5524500" cy="1909438"/>
        </a:xfrm>
        <a:prstGeom prst="rect">
          <a:avLst/>
        </a:prstGeom>
      </xdr:spPr>
    </xdr:pic>
    <xdr:clientData/>
  </xdr:twoCellAnchor>
  <xdr:twoCellAnchor editAs="oneCell">
    <xdr:from>
      <xdr:col>140</xdr:col>
      <xdr:colOff>0</xdr:colOff>
      <xdr:row>608</xdr:row>
      <xdr:rowOff>0</xdr:rowOff>
    </xdr:from>
    <xdr:to>
      <xdr:col>141</xdr:col>
      <xdr:colOff>0</xdr:colOff>
      <xdr:row>609</xdr:row>
      <xdr:rowOff>48123</xdr:rowOff>
    </xdr:to>
    <xdr:pic>
      <xdr:nvPicPr>
        <xdr:cNvPr id="73" name="Afbeelding 72">
          <a:extLst>
            <a:ext uri="{FF2B5EF4-FFF2-40B4-BE49-F238E27FC236}">
              <a16:creationId xmlns:a16="http://schemas.microsoft.com/office/drawing/2014/main" id="{778FCCB9-3B84-4D1E-4C4B-A3359B280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3988182" y="131185227"/>
          <a:ext cx="5524500" cy="1904871"/>
        </a:xfrm>
        <a:prstGeom prst="rect">
          <a:avLst/>
        </a:prstGeom>
      </xdr:spPr>
    </xdr:pic>
    <xdr:clientData/>
  </xdr:twoCellAnchor>
  <xdr:twoCellAnchor editAs="oneCell">
    <xdr:from>
      <xdr:col>140</xdr:col>
      <xdr:colOff>1</xdr:colOff>
      <xdr:row>607</xdr:row>
      <xdr:rowOff>0</xdr:rowOff>
    </xdr:from>
    <xdr:to>
      <xdr:col>141</xdr:col>
      <xdr:colOff>1</xdr:colOff>
      <xdr:row>608</xdr:row>
      <xdr:rowOff>45545</xdr:rowOff>
    </xdr:to>
    <xdr:pic>
      <xdr:nvPicPr>
        <xdr:cNvPr id="80" name="Afbeelding 79">
          <a:extLst>
            <a:ext uri="{FF2B5EF4-FFF2-40B4-BE49-F238E27FC236}">
              <a16:creationId xmlns:a16="http://schemas.microsoft.com/office/drawing/2014/main" id="{1EEC90B2-9562-0ED6-8C4B-51E77B74E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3988183" y="129314864"/>
          <a:ext cx="5524500" cy="1902304"/>
        </a:xfrm>
        <a:prstGeom prst="rect">
          <a:avLst/>
        </a:prstGeom>
      </xdr:spPr>
    </xdr:pic>
    <xdr:clientData/>
  </xdr:twoCellAnchor>
  <xdr:twoCellAnchor editAs="oneCell">
    <xdr:from>
      <xdr:col>140</xdr:col>
      <xdr:colOff>0</xdr:colOff>
      <xdr:row>616</xdr:row>
      <xdr:rowOff>0</xdr:rowOff>
    </xdr:from>
    <xdr:to>
      <xdr:col>141</xdr:col>
      <xdr:colOff>0</xdr:colOff>
      <xdr:row>617</xdr:row>
      <xdr:rowOff>32061</xdr:rowOff>
    </xdr:to>
    <xdr:pic>
      <xdr:nvPicPr>
        <xdr:cNvPr id="81" name="Afbeelding 80">
          <a:extLst>
            <a:ext uri="{FF2B5EF4-FFF2-40B4-BE49-F238E27FC236}">
              <a16:creationId xmlns:a16="http://schemas.microsoft.com/office/drawing/2014/main" id="{45F002EA-7E0D-2184-E7FD-F43EBBDED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3988182" y="146148136"/>
          <a:ext cx="5524500" cy="1902427"/>
        </a:xfrm>
        <a:prstGeom prst="rect">
          <a:avLst/>
        </a:prstGeom>
      </xdr:spPr>
    </xdr:pic>
    <xdr:clientData/>
  </xdr:twoCellAnchor>
  <xdr:twoCellAnchor editAs="oneCell">
    <xdr:from>
      <xdr:col>140</xdr:col>
      <xdr:colOff>0</xdr:colOff>
      <xdr:row>613</xdr:row>
      <xdr:rowOff>1</xdr:rowOff>
    </xdr:from>
    <xdr:to>
      <xdr:col>141</xdr:col>
      <xdr:colOff>0</xdr:colOff>
      <xdr:row>614</xdr:row>
      <xdr:rowOff>53132</xdr:rowOff>
    </xdr:to>
    <xdr:pic>
      <xdr:nvPicPr>
        <xdr:cNvPr id="82" name="Afbeelding 81">
          <a:extLst>
            <a:ext uri="{FF2B5EF4-FFF2-40B4-BE49-F238E27FC236}">
              <a16:creationId xmlns:a16="http://schemas.microsoft.com/office/drawing/2014/main" id="{5EBB1165-1515-22E1-E0DB-88AD35147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3988182" y="140537046"/>
          <a:ext cx="5524500" cy="1909888"/>
        </a:xfrm>
        <a:prstGeom prst="rect">
          <a:avLst/>
        </a:prstGeom>
      </xdr:spPr>
    </xdr:pic>
    <xdr:clientData/>
  </xdr:twoCellAnchor>
  <xdr:twoCellAnchor editAs="oneCell">
    <xdr:from>
      <xdr:col>140</xdr:col>
      <xdr:colOff>0</xdr:colOff>
      <xdr:row>611</xdr:row>
      <xdr:rowOff>0</xdr:rowOff>
    </xdr:from>
    <xdr:to>
      <xdr:col>141</xdr:col>
      <xdr:colOff>0</xdr:colOff>
      <xdr:row>612</xdr:row>
      <xdr:rowOff>44395</xdr:rowOff>
    </xdr:to>
    <xdr:pic>
      <xdr:nvPicPr>
        <xdr:cNvPr id="83" name="Afbeelding 82">
          <a:extLst>
            <a:ext uri="{FF2B5EF4-FFF2-40B4-BE49-F238E27FC236}">
              <a16:creationId xmlns:a16="http://schemas.microsoft.com/office/drawing/2014/main" id="{49AEBAE4-9402-0F91-AF2F-14DA86135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3988182" y="136796318"/>
          <a:ext cx="5524500" cy="1901144"/>
        </a:xfrm>
        <a:prstGeom prst="rect">
          <a:avLst/>
        </a:prstGeom>
      </xdr:spPr>
    </xdr:pic>
    <xdr:clientData/>
  </xdr:twoCellAnchor>
  <xdr:twoCellAnchor editAs="oneCell">
    <xdr:from>
      <xdr:col>140</xdr:col>
      <xdr:colOff>0</xdr:colOff>
      <xdr:row>609</xdr:row>
      <xdr:rowOff>0</xdr:rowOff>
    </xdr:from>
    <xdr:to>
      <xdr:col>141</xdr:col>
      <xdr:colOff>0</xdr:colOff>
      <xdr:row>610</xdr:row>
      <xdr:rowOff>44379</xdr:rowOff>
    </xdr:to>
    <xdr:pic>
      <xdr:nvPicPr>
        <xdr:cNvPr id="84" name="Afbeelding 83">
          <a:extLst>
            <a:ext uri="{FF2B5EF4-FFF2-40B4-BE49-F238E27FC236}">
              <a16:creationId xmlns:a16="http://schemas.microsoft.com/office/drawing/2014/main" id="{6D7B7352-10D3-3852-A3BD-F8FE20C5B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3988182" y="133055591"/>
          <a:ext cx="5524500" cy="1901144"/>
        </a:xfrm>
        <a:prstGeom prst="rect">
          <a:avLst/>
        </a:prstGeom>
      </xdr:spPr>
    </xdr:pic>
    <xdr:clientData/>
  </xdr:twoCellAnchor>
  <xdr:twoCellAnchor editAs="oneCell">
    <xdr:from>
      <xdr:col>142</xdr:col>
      <xdr:colOff>0</xdr:colOff>
      <xdr:row>609</xdr:row>
      <xdr:rowOff>-1</xdr:rowOff>
    </xdr:from>
    <xdr:to>
      <xdr:col>143</xdr:col>
      <xdr:colOff>0</xdr:colOff>
      <xdr:row>610</xdr:row>
      <xdr:rowOff>46249</xdr:rowOff>
    </xdr:to>
    <xdr:pic>
      <xdr:nvPicPr>
        <xdr:cNvPr id="92" name="Afbeelding 91">
          <a:extLst>
            <a:ext uri="{FF2B5EF4-FFF2-40B4-BE49-F238E27FC236}">
              <a16:creationId xmlns:a16="http://schemas.microsoft.com/office/drawing/2014/main" id="{FE67FDF2-B697-30AB-F5CF-002B58CF0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0115107" y="131594678"/>
          <a:ext cx="5524500" cy="1910431"/>
        </a:xfrm>
        <a:prstGeom prst="rect">
          <a:avLst/>
        </a:prstGeom>
      </xdr:spPr>
    </xdr:pic>
    <xdr:clientData/>
  </xdr:twoCellAnchor>
  <xdr:twoCellAnchor editAs="oneCell">
    <xdr:from>
      <xdr:col>142</xdr:col>
      <xdr:colOff>0</xdr:colOff>
      <xdr:row>611</xdr:row>
      <xdr:rowOff>0</xdr:rowOff>
    </xdr:from>
    <xdr:to>
      <xdr:col>143</xdr:col>
      <xdr:colOff>0</xdr:colOff>
      <xdr:row>612</xdr:row>
      <xdr:rowOff>42935</xdr:rowOff>
    </xdr:to>
    <xdr:pic>
      <xdr:nvPicPr>
        <xdr:cNvPr id="93" name="Afbeelding 92">
          <a:extLst>
            <a:ext uri="{FF2B5EF4-FFF2-40B4-BE49-F238E27FC236}">
              <a16:creationId xmlns:a16="http://schemas.microsoft.com/office/drawing/2014/main" id="{141906EC-09D5-4A14-C6B5-E10B4332B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0115107" y="135350250"/>
          <a:ext cx="5524500" cy="1907112"/>
        </a:xfrm>
        <a:prstGeom prst="rect">
          <a:avLst/>
        </a:prstGeom>
      </xdr:spPr>
    </xdr:pic>
    <xdr:clientData/>
  </xdr:twoCellAnchor>
  <xdr:twoCellAnchor editAs="oneCell">
    <xdr:from>
      <xdr:col>142</xdr:col>
      <xdr:colOff>0</xdr:colOff>
      <xdr:row>612</xdr:row>
      <xdr:rowOff>1864177</xdr:rowOff>
    </xdr:from>
    <xdr:to>
      <xdr:col>143</xdr:col>
      <xdr:colOff>0</xdr:colOff>
      <xdr:row>614</xdr:row>
      <xdr:rowOff>46257</xdr:rowOff>
    </xdr:to>
    <xdr:pic>
      <xdr:nvPicPr>
        <xdr:cNvPr id="94" name="Afbeelding 93">
          <a:extLst>
            <a:ext uri="{FF2B5EF4-FFF2-40B4-BE49-F238E27FC236}">
              <a16:creationId xmlns:a16="http://schemas.microsoft.com/office/drawing/2014/main" id="{4870F99A-B31F-4DAA-AD68-6BFDBD6DC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0115107" y="139092213"/>
          <a:ext cx="5524500" cy="1910437"/>
        </a:xfrm>
        <a:prstGeom prst="rect">
          <a:avLst/>
        </a:prstGeom>
      </xdr:spPr>
    </xdr:pic>
    <xdr:clientData/>
  </xdr:twoCellAnchor>
  <xdr:twoCellAnchor editAs="oneCell">
    <xdr:from>
      <xdr:col>142</xdr:col>
      <xdr:colOff>0</xdr:colOff>
      <xdr:row>616</xdr:row>
      <xdr:rowOff>1</xdr:rowOff>
    </xdr:from>
    <xdr:to>
      <xdr:col>143</xdr:col>
      <xdr:colOff>0</xdr:colOff>
      <xdr:row>617</xdr:row>
      <xdr:rowOff>43323</xdr:rowOff>
    </xdr:to>
    <xdr:pic>
      <xdr:nvPicPr>
        <xdr:cNvPr id="95" name="Afbeelding 94">
          <a:extLst>
            <a:ext uri="{FF2B5EF4-FFF2-40B4-BE49-F238E27FC236}">
              <a16:creationId xmlns:a16="http://schemas.microsoft.com/office/drawing/2014/main" id="{40C1B2B3-54D1-D140-2C73-9C513AB1F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0115107" y="144698358"/>
          <a:ext cx="5524500" cy="1907501"/>
        </a:xfrm>
        <a:prstGeom prst="rect">
          <a:avLst/>
        </a:prstGeom>
      </xdr:spPr>
    </xdr:pic>
    <xdr:clientData/>
  </xdr:twoCellAnchor>
  <xdr:twoCellAnchor editAs="oneCell">
    <xdr:from>
      <xdr:col>142</xdr:col>
      <xdr:colOff>0</xdr:colOff>
      <xdr:row>607</xdr:row>
      <xdr:rowOff>0</xdr:rowOff>
    </xdr:from>
    <xdr:to>
      <xdr:col>143</xdr:col>
      <xdr:colOff>0</xdr:colOff>
      <xdr:row>608</xdr:row>
      <xdr:rowOff>41488</xdr:rowOff>
    </xdr:to>
    <xdr:pic>
      <xdr:nvPicPr>
        <xdr:cNvPr id="96" name="Afbeelding 95">
          <a:extLst>
            <a:ext uri="{FF2B5EF4-FFF2-40B4-BE49-F238E27FC236}">
              <a16:creationId xmlns:a16="http://schemas.microsoft.com/office/drawing/2014/main" id="{B82D55CF-E3AA-DBFA-F3A1-147939813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0115107" y="127839107"/>
          <a:ext cx="5524500" cy="1905668"/>
        </a:xfrm>
        <a:prstGeom prst="rect">
          <a:avLst/>
        </a:prstGeom>
      </xdr:spPr>
    </xdr:pic>
    <xdr:clientData/>
  </xdr:twoCellAnchor>
  <xdr:twoCellAnchor editAs="oneCell">
    <xdr:from>
      <xdr:col>142</xdr:col>
      <xdr:colOff>0</xdr:colOff>
      <xdr:row>608</xdr:row>
      <xdr:rowOff>0</xdr:rowOff>
    </xdr:from>
    <xdr:to>
      <xdr:col>143</xdr:col>
      <xdr:colOff>0</xdr:colOff>
      <xdr:row>609</xdr:row>
      <xdr:rowOff>50681</xdr:rowOff>
    </xdr:to>
    <xdr:pic>
      <xdr:nvPicPr>
        <xdr:cNvPr id="98" name="Afbeelding 97">
          <a:extLst>
            <a:ext uri="{FF2B5EF4-FFF2-40B4-BE49-F238E27FC236}">
              <a16:creationId xmlns:a16="http://schemas.microsoft.com/office/drawing/2014/main" id="{2051E5C4-C45C-9A52-D14F-74A93AADB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0115107" y="129716893"/>
          <a:ext cx="5524500" cy="1914857"/>
        </a:xfrm>
        <a:prstGeom prst="rect">
          <a:avLst/>
        </a:prstGeom>
      </xdr:spPr>
    </xdr:pic>
    <xdr:clientData/>
  </xdr:twoCellAnchor>
  <xdr:twoCellAnchor editAs="oneCell">
    <xdr:from>
      <xdr:col>142</xdr:col>
      <xdr:colOff>0</xdr:colOff>
      <xdr:row>610</xdr:row>
      <xdr:rowOff>0</xdr:rowOff>
    </xdr:from>
    <xdr:to>
      <xdr:col>143</xdr:col>
      <xdr:colOff>0</xdr:colOff>
      <xdr:row>611</xdr:row>
      <xdr:rowOff>48005</xdr:rowOff>
    </xdr:to>
    <xdr:pic>
      <xdr:nvPicPr>
        <xdr:cNvPr id="99" name="Afbeelding 98">
          <a:extLst>
            <a:ext uri="{FF2B5EF4-FFF2-40B4-BE49-F238E27FC236}">
              <a16:creationId xmlns:a16="http://schemas.microsoft.com/office/drawing/2014/main" id="{E37ED155-E9A7-5998-00FC-20E2F7B7E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0115107" y="133472464"/>
          <a:ext cx="5524500" cy="1912184"/>
        </a:xfrm>
        <a:prstGeom prst="rect">
          <a:avLst/>
        </a:prstGeom>
      </xdr:spPr>
    </xdr:pic>
    <xdr:clientData/>
  </xdr:twoCellAnchor>
  <xdr:twoCellAnchor editAs="oneCell">
    <xdr:from>
      <xdr:col>142</xdr:col>
      <xdr:colOff>0</xdr:colOff>
      <xdr:row>612</xdr:row>
      <xdr:rowOff>1</xdr:rowOff>
    </xdr:from>
    <xdr:to>
      <xdr:col>143</xdr:col>
      <xdr:colOff>0</xdr:colOff>
      <xdr:row>613</xdr:row>
      <xdr:rowOff>39455</xdr:rowOff>
    </xdr:to>
    <xdr:pic>
      <xdr:nvPicPr>
        <xdr:cNvPr id="100" name="Afbeelding 99">
          <a:extLst>
            <a:ext uri="{FF2B5EF4-FFF2-40B4-BE49-F238E27FC236}">
              <a16:creationId xmlns:a16="http://schemas.microsoft.com/office/drawing/2014/main" id="{5C3F3BA5-1EEC-82F0-46D6-D3CF54212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0115107" y="137228037"/>
          <a:ext cx="5524500" cy="1903632"/>
        </a:xfrm>
        <a:prstGeom prst="rect">
          <a:avLst/>
        </a:prstGeom>
      </xdr:spPr>
    </xdr:pic>
    <xdr:clientData/>
  </xdr:twoCellAnchor>
  <xdr:twoCellAnchor editAs="oneCell">
    <xdr:from>
      <xdr:col>140</xdr:col>
      <xdr:colOff>1</xdr:colOff>
      <xdr:row>620</xdr:row>
      <xdr:rowOff>0</xdr:rowOff>
    </xdr:from>
    <xdr:to>
      <xdr:col>141</xdr:col>
      <xdr:colOff>1</xdr:colOff>
      <xdr:row>621</xdr:row>
      <xdr:rowOff>37727</xdr:rowOff>
    </xdr:to>
    <xdr:pic>
      <xdr:nvPicPr>
        <xdr:cNvPr id="66" name="Afbeelding 65">
          <a:extLst>
            <a:ext uri="{FF2B5EF4-FFF2-40B4-BE49-F238E27FC236}">
              <a16:creationId xmlns:a16="http://schemas.microsoft.com/office/drawing/2014/main" id="{EA05169F-5379-F8B2-66BE-93EDADA8D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3624501" y="153486971"/>
          <a:ext cx="5524500" cy="1895503"/>
        </a:xfrm>
        <a:prstGeom prst="rect">
          <a:avLst/>
        </a:prstGeom>
      </xdr:spPr>
    </xdr:pic>
    <xdr:clientData/>
  </xdr:twoCellAnchor>
  <xdr:twoCellAnchor editAs="oneCell">
    <xdr:from>
      <xdr:col>142</xdr:col>
      <xdr:colOff>0</xdr:colOff>
      <xdr:row>620</xdr:row>
      <xdr:rowOff>0</xdr:rowOff>
    </xdr:from>
    <xdr:to>
      <xdr:col>142</xdr:col>
      <xdr:colOff>5468471</xdr:colOff>
      <xdr:row>621</xdr:row>
      <xdr:rowOff>25673</xdr:rowOff>
    </xdr:to>
    <xdr:pic>
      <xdr:nvPicPr>
        <xdr:cNvPr id="69" name="Afbeelding 68">
          <a:extLst>
            <a:ext uri="{FF2B5EF4-FFF2-40B4-BE49-F238E27FC236}">
              <a16:creationId xmlns:a16="http://schemas.microsoft.com/office/drawing/2014/main" id="{528DF386-DF3F-BF0D-3335-D5B442A95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0360036" y="153556607"/>
          <a:ext cx="5470071" cy="1876246"/>
        </a:xfrm>
        <a:prstGeom prst="rect">
          <a:avLst/>
        </a:prstGeom>
      </xdr:spPr>
    </xdr:pic>
    <xdr:clientData/>
  </xdr:twoCellAnchor>
  <xdr:twoCellAnchor editAs="oneCell">
    <xdr:from>
      <xdr:col>142</xdr:col>
      <xdr:colOff>0</xdr:colOff>
      <xdr:row>621</xdr:row>
      <xdr:rowOff>0</xdr:rowOff>
    </xdr:from>
    <xdr:to>
      <xdr:col>142</xdr:col>
      <xdr:colOff>5468471</xdr:colOff>
      <xdr:row>622</xdr:row>
      <xdr:rowOff>17757</xdr:rowOff>
    </xdr:to>
    <xdr:pic>
      <xdr:nvPicPr>
        <xdr:cNvPr id="65" name="Afbeelding 64">
          <a:extLst>
            <a:ext uri="{FF2B5EF4-FFF2-40B4-BE49-F238E27FC236}">
              <a16:creationId xmlns:a16="http://schemas.microsoft.com/office/drawing/2014/main" id="{F700EE83-4A6C-6B5E-2804-F90A6F684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0360036" y="153638250"/>
          <a:ext cx="5470071" cy="1868327"/>
        </a:xfrm>
        <a:prstGeom prst="rect">
          <a:avLst/>
        </a:prstGeom>
      </xdr:spPr>
    </xdr:pic>
    <xdr:clientData/>
  </xdr:twoCellAnchor>
  <xdr:twoCellAnchor editAs="oneCell">
    <xdr:from>
      <xdr:col>142</xdr:col>
      <xdr:colOff>0</xdr:colOff>
      <xdr:row>622</xdr:row>
      <xdr:rowOff>1</xdr:rowOff>
    </xdr:from>
    <xdr:to>
      <xdr:col>142</xdr:col>
      <xdr:colOff>5468471</xdr:colOff>
      <xdr:row>623</xdr:row>
      <xdr:rowOff>31077</xdr:rowOff>
    </xdr:to>
    <xdr:pic>
      <xdr:nvPicPr>
        <xdr:cNvPr id="72" name="Afbeelding 71">
          <a:extLst>
            <a:ext uri="{FF2B5EF4-FFF2-40B4-BE49-F238E27FC236}">
              <a16:creationId xmlns:a16="http://schemas.microsoft.com/office/drawing/2014/main" id="{7438F2E8-EDED-F483-E7F0-6F005B2E1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0360036" y="155502430"/>
          <a:ext cx="5470071" cy="1881644"/>
        </a:xfrm>
        <a:prstGeom prst="rect">
          <a:avLst/>
        </a:prstGeom>
      </xdr:spPr>
    </xdr:pic>
    <xdr:clientData/>
  </xdr:twoCellAnchor>
  <xdr:twoCellAnchor editAs="oneCell">
    <xdr:from>
      <xdr:col>140</xdr:col>
      <xdr:colOff>0</xdr:colOff>
      <xdr:row>622</xdr:row>
      <xdr:rowOff>0</xdr:rowOff>
    </xdr:from>
    <xdr:to>
      <xdr:col>141</xdr:col>
      <xdr:colOff>0</xdr:colOff>
      <xdr:row>623</xdr:row>
      <xdr:rowOff>45059</xdr:rowOff>
    </xdr:to>
    <xdr:pic>
      <xdr:nvPicPr>
        <xdr:cNvPr id="75" name="Afbeelding 74">
          <a:extLst>
            <a:ext uri="{FF2B5EF4-FFF2-40B4-BE49-F238E27FC236}">
              <a16:creationId xmlns:a16="http://schemas.microsoft.com/office/drawing/2014/main" id="{EE9F8232-FD75-2E6D-E777-365398452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4372893" y="155502429"/>
          <a:ext cx="5524500" cy="1895627"/>
        </a:xfrm>
        <a:prstGeom prst="rect">
          <a:avLst/>
        </a:prstGeom>
      </xdr:spPr>
    </xdr:pic>
    <xdr:clientData/>
  </xdr:twoCellAnchor>
  <xdr:twoCellAnchor editAs="oneCell">
    <xdr:from>
      <xdr:col>140</xdr:col>
      <xdr:colOff>0</xdr:colOff>
      <xdr:row>621</xdr:row>
      <xdr:rowOff>0</xdr:rowOff>
    </xdr:from>
    <xdr:to>
      <xdr:col>141</xdr:col>
      <xdr:colOff>0</xdr:colOff>
      <xdr:row>622</xdr:row>
      <xdr:rowOff>48587</xdr:rowOff>
    </xdr:to>
    <xdr:pic>
      <xdr:nvPicPr>
        <xdr:cNvPr id="77" name="Afbeelding 76">
          <a:extLst>
            <a:ext uri="{FF2B5EF4-FFF2-40B4-BE49-F238E27FC236}">
              <a16:creationId xmlns:a16="http://schemas.microsoft.com/office/drawing/2014/main" id="{F319C609-21A8-878B-1316-E06148FFC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3366765" y="152254324"/>
          <a:ext cx="5524500" cy="1906362"/>
        </a:xfrm>
        <a:prstGeom prst="rect">
          <a:avLst/>
        </a:prstGeom>
      </xdr:spPr>
    </xdr:pic>
    <xdr:clientData/>
  </xdr:twoCellAnchor>
  <xdr:twoCellAnchor editAs="oneCell">
    <xdr:from>
      <xdr:col>142</xdr:col>
      <xdr:colOff>0</xdr:colOff>
      <xdr:row>602</xdr:row>
      <xdr:rowOff>-1</xdr:rowOff>
    </xdr:from>
    <xdr:to>
      <xdr:col>143</xdr:col>
      <xdr:colOff>0</xdr:colOff>
      <xdr:row>603</xdr:row>
      <xdr:rowOff>39470</xdr:rowOff>
    </xdr:to>
    <xdr:pic>
      <xdr:nvPicPr>
        <xdr:cNvPr id="71" name="Afbeelding 70">
          <a:extLst>
            <a:ext uri="{FF2B5EF4-FFF2-40B4-BE49-F238E27FC236}">
              <a16:creationId xmlns:a16="http://schemas.microsoft.com/office/drawing/2014/main" id="{35DDD2C0-11EC-487B-3684-7BA29DCEC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0115107" y="118450178"/>
          <a:ext cx="5524500" cy="1903649"/>
        </a:xfrm>
        <a:prstGeom prst="rect">
          <a:avLst/>
        </a:prstGeom>
      </xdr:spPr>
    </xdr:pic>
    <xdr:clientData/>
  </xdr:twoCellAnchor>
  <xdr:twoCellAnchor editAs="oneCell">
    <xdr:from>
      <xdr:col>142</xdr:col>
      <xdr:colOff>0</xdr:colOff>
      <xdr:row>603</xdr:row>
      <xdr:rowOff>0</xdr:rowOff>
    </xdr:from>
    <xdr:to>
      <xdr:col>143</xdr:col>
      <xdr:colOff>0</xdr:colOff>
      <xdr:row>604</xdr:row>
      <xdr:rowOff>42928</xdr:rowOff>
    </xdr:to>
    <xdr:pic>
      <xdr:nvPicPr>
        <xdr:cNvPr id="79" name="Afbeelding 78">
          <a:extLst>
            <a:ext uri="{FF2B5EF4-FFF2-40B4-BE49-F238E27FC236}">
              <a16:creationId xmlns:a16="http://schemas.microsoft.com/office/drawing/2014/main" id="{AA1698D5-136B-25A6-9FEE-1FE7BDB66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0115107" y="120327964"/>
          <a:ext cx="5524500" cy="1907105"/>
        </a:xfrm>
        <a:prstGeom prst="rect">
          <a:avLst/>
        </a:prstGeom>
      </xdr:spPr>
    </xdr:pic>
    <xdr:clientData/>
  </xdr:twoCellAnchor>
  <xdr:twoCellAnchor editAs="oneCell">
    <xdr:from>
      <xdr:col>140</xdr:col>
      <xdr:colOff>0</xdr:colOff>
      <xdr:row>603</xdr:row>
      <xdr:rowOff>0</xdr:rowOff>
    </xdr:from>
    <xdr:to>
      <xdr:col>141</xdr:col>
      <xdr:colOff>0</xdr:colOff>
      <xdr:row>604</xdr:row>
      <xdr:rowOff>44414</xdr:rowOff>
    </xdr:to>
    <xdr:pic>
      <xdr:nvPicPr>
        <xdr:cNvPr id="85" name="Afbeelding 84">
          <a:extLst>
            <a:ext uri="{FF2B5EF4-FFF2-40B4-BE49-F238E27FC236}">
              <a16:creationId xmlns:a16="http://schemas.microsoft.com/office/drawing/2014/main" id="{F11E7188-E797-85C1-0197-7ECA6513B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3728409" y="120049636"/>
          <a:ext cx="5524500" cy="1901173"/>
        </a:xfrm>
        <a:prstGeom prst="rect">
          <a:avLst/>
        </a:prstGeom>
      </xdr:spPr>
    </xdr:pic>
    <xdr:clientData/>
  </xdr:twoCellAnchor>
  <xdr:twoCellAnchor editAs="oneCell">
    <xdr:from>
      <xdr:col>140</xdr:col>
      <xdr:colOff>0</xdr:colOff>
      <xdr:row>602</xdr:row>
      <xdr:rowOff>0</xdr:rowOff>
    </xdr:from>
    <xdr:to>
      <xdr:col>141</xdr:col>
      <xdr:colOff>0</xdr:colOff>
      <xdr:row>603</xdr:row>
      <xdr:rowOff>49109</xdr:rowOff>
    </xdr:to>
    <xdr:pic>
      <xdr:nvPicPr>
        <xdr:cNvPr id="86" name="Afbeelding 85">
          <a:extLst>
            <a:ext uri="{FF2B5EF4-FFF2-40B4-BE49-F238E27FC236}">
              <a16:creationId xmlns:a16="http://schemas.microsoft.com/office/drawing/2014/main" id="{65CA3C1B-6B77-268F-6421-F5CFEBCA5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4127964" y="118450179"/>
          <a:ext cx="5524500" cy="19132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165654</xdr:colOff>
      <xdr:row>1</xdr:row>
      <xdr:rowOff>24848</xdr:rowOff>
    </xdr:from>
    <xdr:to>
      <xdr:col>13</xdr:col>
      <xdr:colOff>145492</xdr:colOff>
      <xdr:row>4</xdr:row>
      <xdr:rowOff>66272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2FE58CC-E356-448D-8552-FB7939417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0784" y="215348"/>
          <a:ext cx="2340382" cy="612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061C6-8AD5-46EA-9E99-03427D2E940F}">
  <sheetPr codeName="Blad1">
    <tabColor rgb="FFA05599"/>
    <pageSetUpPr fitToPage="1"/>
  </sheetPr>
  <dimension ref="A1:FA623"/>
  <sheetViews>
    <sheetView tabSelected="1" zoomScale="85" zoomScaleNormal="85" workbookViewId="0">
      <selection activeCell="E11" sqref="E11:I12"/>
    </sheetView>
  </sheetViews>
  <sheetFormatPr defaultRowHeight="15" x14ac:dyDescent="0.25"/>
  <cols>
    <col min="1" max="1" width="5.140625" style="3" customWidth="1"/>
    <col min="2" max="2" width="4.42578125" style="3" customWidth="1"/>
    <col min="3" max="3" width="3.42578125" style="3" customWidth="1"/>
    <col min="4" max="4" width="6.5703125" style="3" customWidth="1"/>
    <col min="5" max="5" width="3.7109375" style="3" customWidth="1"/>
    <col min="6" max="7" width="4.28515625" style="3" customWidth="1"/>
    <col min="8" max="11" width="4.42578125" style="3" customWidth="1"/>
    <col min="12" max="12" width="4.28515625" style="3" customWidth="1"/>
    <col min="13" max="14" width="4.140625" style="3" customWidth="1"/>
    <col min="15" max="16" width="4.28515625" style="3" customWidth="1"/>
    <col min="17" max="18" width="4.140625" style="3" customWidth="1"/>
    <col min="19" max="20" width="4.28515625" style="3" customWidth="1"/>
    <col min="21" max="22" width="4.140625" style="3" customWidth="1"/>
    <col min="23" max="29" width="4.28515625" style="3" customWidth="1"/>
    <col min="30" max="30" width="4.140625" style="3" customWidth="1"/>
    <col min="31" max="31" width="4.7109375" style="3" customWidth="1"/>
    <col min="32" max="32" width="4.28515625" style="3" customWidth="1"/>
    <col min="33" max="33" width="2.42578125" style="3" customWidth="1"/>
    <col min="34" max="34" width="2.5703125" style="3" customWidth="1"/>
    <col min="35" max="51" width="4.42578125" style="3" customWidth="1"/>
    <col min="52" max="52" width="4.42578125" style="22" customWidth="1"/>
    <col min="53" max="139" width="4.42578125" style="3" customWidth="1"/>
    <col min="140" max="140" width="46.42578125" style="3" customWidth="1"/>
    <col min="141" max="141" width="82.85546875" style="3" customWidth="1"/>
    <col min="142" max="142" width="6.85546875" style="3" customWidth="1"/>
    <col min="143" max="143" width="82.85546875" style="3" customWidth="1"/>
    <col min="144" max="144" width="6" style="3" customWidth="1"/>
    <col min="145" max="145" width="82.85546875" style="3" customWidth="1"/>
    <col min="146" max="146" width="6.85546875" style="3" customWidth="1"/>
    <col min="147" max="147" width="82.85546875" style="3" customWidth="1"/>
    <col min="148" max="148" width="6.85546875" style="3" customWidth="1"/>
    <col min="149" max="149" width="82.85546875" style="3" customWidth="1"/>
    <col min="150" max="152" width="9.140625" style="3"/>
    <col min="153" max="155" width="69" style="3" customWidth="1"/>
    <col min="156" max="157" width="12.140625" style="3" customWidth="1"/>
    <col min="158" max="16384" width="9.140625" style="3"/>
  </cols>
  <sheetData>
    <row r="1" spans="1:35" s="47" customFormat="1" ht="15.75" thickBot="1" x14ac:dyDescent="0.3">
      <c r="A1" s="445" t="str">
        <f ca="1">IF(A2="",EX117,EW117)</f>
        <v>Language:</v>
      </c>
      <c r="B1" s="445"/>
      <c r="C1" s="445"/>
      <c r="D1" s="445"/>
      <c r="E1" s="433" t="str">
        <f>IF(A2="","!","")</f>
        <v/>
      </c>
      <c r="W1" s="501" t="str">
        <f ca="1">IF(H101&gt;0,"",IF(BV65&lt;&gt;0,EW146,""))</f>
        <v/>
      </c>
      <c r="X1" s="501"/>
      <c r="Y1" s="501"/>
      <c r="Z1" s="501"/>
      <c r="AA1" s="501"/>
      <c r="AB1" s="501"/>
      <c r="AC1" s="501"/>
      <c r="AD1" s="501"/>
      <c r="AE1" s="501"/>
      <c r="AF1" s="501"/>
    </row>
    <row r="2" spans="1:35" s="47" customFormat="1" x14ac:dyDescent="0.25">
      <c r="A2" s="432" t="s">
        <v>88</v>
      </c>
      <c r="B2" s="432"/>
      <c r="C2" s="432"/>
      <c r="D2" s="432"/>
      <c r="E2" s="433"/>
      <c r="W2" s="116"/>
      <c r="X2" s="117"/>
      <c r="Y2" s="117"/>
      <c r="Z2" s="117"/>
      <c r="AA2" s="118"/>
      <c r="AB2" s="117"/>
      <c r="AC2" s="118"/>
      <c r="AD2" s="118"/>
      <c r="AE2" s="117"/>
      <c r="AF2" s="119"/>
    </row>
    <row r="3" spans="1:35" s="47" customFormat="1" ht="15" customHeight="1" x14ac:dyDescent="0.25">
      <c r="A3" s="120"/>
      <c r="B3" s="120"/>
      <c r="C3" s="120"/>
      <c r="D3" s="120"/>
      <c r="W3" s="477" t="str">
        <f ca="1">IF($AD$3="","",EW94)</f>
        <v>Number of hooks</v>
      </c>
      <c r="X3" s="478"/>
      <c r="Y3" s="478"/>
      <c r="Z3" s="478"/>
      <c r="AA3" s="445" t="str">
        <f ca="1">IF(AD3="","",IF(E19=AW105,"",IF(J57=1,AR105,IF(J57=2,AR107,IF(J57=3,AR109,"")))))</f>
        <v/>
      </c>
      <c r="AB3" s="445"/>
      <c r="AC3" s="445"/>
      <c r="AD3" s="445">
        <f ca="1">IF($H$101=0,BP74,"")</f>
        <v>14</v>
      </c>
      <c r="AE3" s="445"/>
      <c r="AF3" s="122"/>
      <c r="AG3" s="123"/>
    </row>
    <row r="4" spans="1:35" s="47" customFormat="1" ht="15" customHeight="1" x14ac:dyDescent="0.25">
      <c r="F4" s="124"/>
      <c r="W4" s="446" t="str">
        <f ca="1">IF($AD$3="","",EW95)</f>
        <v xml:space="preserve"> in curtain needed</v>
      </c>
      <c r="X4" s="445"/>
      <c r="Y4" s="445"/>
      <c r="Z4" s="445"/>
      <c r="AA4" s="445" t="str">
        <f ca="1">IF(H101=1,"",IF(E19=AW105,"",IF(J57=0,"",IF(J57=1,AR106,IF(J57=2,AR108,IF(J57=3,AR110,""))))))</f>
        <v/>
      </c>
      <c r="AB4" s="445"/>
      <c r="AC4" s="445"/>
      <c r="AD4" s="445" t="str">
        <f ca="1">IF($E$19=AW106,IF(AD3="","",BR74),"")</f>
        <v/>
      </c>
      <c r="AE4" s="445"/>
      <c r="AF4" s="122"/>
      <c r="AG4" s="123"/>
    </row>
    <row r="5" spans="1:35" s="47" customFormat="1" ht="15" customHeight="1" x14ac:dyDescent="0.25">
      <c r="F5" s="124"/>
      <c r="G5" s="115"/>
      <c r="H5" s="115"/>
      <c r="I5" s="115"/>
      <c r="W5" s="123"/>
      <c r="X5" s="125"/>
      <c r="Y5" s="125"/>
      <c r="Z5" s="125"/>
      <c r="AA5" s="126"/>
      <c r="AB5" s="126"/>
      <c r="AC5" s="126"/>
      <c r="AD5" s="127"/>
      <c r="AE5" s="125"/>
      <c r="AF5" s="122"/>
    </row>
    <row r="6" spans="1:35" s="47" customFormat="1" ht="15" customHeight="1" x14ac:dyDescent="0.25">
      <c r="I6" s="505" t="s">
        <v>5</v>
      </c>
      <c r="J6" s="505"/>
      <c r="K6" s="505"/>
      <c r="L6" s="505"/>
      <c r="M6" s="505"/>
      <c r="N6" s="505"/>
      <c r="O6" s="505"/>
      <c r="P6" s="505"/>
      <c r="Q6" s="505"/>
      <c r="R6" s="505"/>
      <c r="W6" s="123"/>
      <c r="AA6" s="115"/>
      <c r="AB6" s="115"/>
      <c r="AC6" s="115"/>
      <c r="AD6" s="108"/>
      <c r="AF6" s="122"/>
      <c r="AG6" s="128"/>
      <c r="AI6" s="108"/>
    </row>
    <row r="7" spans="1:35" s="47" customFormat="1" ht="15" customHeight="1" x14ac:dyDescent="0.25">
      <c r="I7" s="505"/>
      <c r="J7" s="505"/>
      <c r="K7" s="505"/>
      <c r="L7" s="505"/>
      <c r="M7" s="505"/>
      <c r="N7" s="505"/>
      <c r="O7" s="505"/>
      <c r="P7" s="505"/>
      <c r="Q7" s="505"/>
      <c r="R7" s="505"/>
      <c r="W7" s="446" t="str">
        <f ca="1">IF($AD$3="","",EW96)</f>
        <v>Number of</v>
      </c>
      <c r="X7" s="445"/>
      <c r="Y7" s="445"/>
      <c r="Z7" s="445"/>
      <c r="AA7" s="445" t="str">
        <f ca="1">IF(AA3 ="","",AA3)</f>
        <v/>
      </c>
      <c r="AB7" s="445"/>
      <c r="AC7" s="445"/>
      <c r="AD7" s="445">
        <f ca="1">IF(AD3="","",BP72)</f>
        <v>12</v>
      </c>
      <c r="AE7" s="445"/>
      <c r="AF7" s="122"/>
      <c r="AG7" s="129"/>
      <c r="AH7" s="48"/>
    </row>
    <row r="8" spans="1:35" s="47" customFormat="1" ht="15" customHeight="1" x14ac:dyDescent="0.25">
      <c r="I8" s="505"/>
      <c r="J8" s="505"/>
      <c r="K8" s="505"/>
      <c r="L8" s="505"/>
      <c r="M8" s="505"/>
      <c r="N8" s="505"/>
      <c r="O8" s="505"/>
      <c r="P8" s="505"/>
      <c r="Q8" s="505"/>
      <c r="R8" s="505"/>
      <c r="W8" s="446" t="str">
        <f ca="1">IF($AD$3="","",EW97)</f>
        <v>carriers needed**</v>
      </c>
      <c r="X8" s="445"/>
      <c r="Y8" s="445"/>
      <c r="Z8" s="445"/>
      <c r="AA8" s="445" t="str">
        <f ca="1">IF(AA4 ="","",AA4)</f>
        <v/>
      </c>
      <c r="AB8" s="445"/>
      <c r="AC8" s="445"/>
      <c r="AD8" s="445" t="str">
        <f ca="1">IF($E$19=AW106,IF(AD3="","",BR72),"")</f>
        <v/>
      </c>
      <c r="AE8" s="445"/>
      <c r="AF8" s="122"/>
      <c r="AG8" s="129"/>
      <c r="AH8" s="48"/>
    </row>
    <row r="9" spans="1:35" s="47" customFormat="1" ht="15" customHeight="1" x14ac:dyDescent="0.25">
      <c r="I9" s="505"/>
      <c r="J9" s="505"/>
      <c r="K9" s="505"/>
      <c r="L9" s="505"/>
      <c r="M9" s="505"/>
      <c r="N9" s="505"/>
      <c r="O9" s="505"/>
      <c r="P9" s="505"/>
      <c r="Q9" s="505"/>
      <c r="R9" s="505"/>
      <c r="W9" s="123"/>
      <c r="X9" s="125"/>
      <c r="Y9" s="125"/>
      <c r="Z9" s="125"/>
      <c r="AA9" s="126"/>
      <c r="AB9" s="126"/>
      <c r="AC9" s="126"/>
      <c r="AD9" s="125"/>
      <c r="AE9" s="125"/>
      <c r="AF9" s="122"/>
      <c r="AG9" s="129"/>
      <c r="AH9" s="48"/>
    </row>
    <row r="10" spans="1:35" s="47" customFormat="1" ht="15.75" thickBot="1" x14ac:dyDescent="0.3">
      <c r="A10" s="455" t="s">
        <v>381</v>
      </c>
      <c r="B10" s="455"/>
      <c r="W10" s="123"/>
      <c r="AA10" s="115"/>
      <c r="AB10" s="115"/>
      <c r="AC10" s="115"/>
      <c r="AF10" s="122"/>
    </row>
    <row r="11" spans="1:35" s="47" customFormat="1" ht="15" customHeight="1" x14ac:dyDescent="0.25">
      <c r="A11" s="456" t="str">
        <f ca="1">EW68</f>
        <v xml:space="preserve">Track type       = </v>
      </c>
      <c r="B11" s="457"/>
      <c r="C11" s="457"/>
      <c r="D11" s="458"/>
      <c r="E11" s="468" t="s">
        <v>34</v>
      </c>
      <c r="F11" s="469"/>
      <c r="G11" s="469"/>
      <c r="H11" s="469"/>
      <c r="I11" s="470"/>
      <c r="J11" s="433" t="str">
        <f ca="1">IF(A2="","",IF(H102+H103&gt;=1,"!",""))</f>
        <v/>
      </c>
      <c r="K11" s="433"/>
      <c r="L11" s="442" t="str">
        <f ca="1">IF(E11="",EW87,IF(H103=1,EW93,""))</f>
        <v/>
      </c>
      <c r="M11" s="442"/>
      <c r="N11" s="442"/>
      <c r="O11" s="442"/>
      <c r="P11" s="442"/>
      <c r="Q11" s="442"/>
      <c r="R11" s="442"/>
      <c r="S11" s="442"/>
      <c r="T11" s="442"/>
      <c r="U11" s="442"/>
      <c r="V11" s="443"/>
      <c r="W11" s="446" t="str">
        <f ca="1">IF($AD$3="","",EW98)</f>
        <v>Curtain stacking</v>
      </c>
      <c r="X11" s="445"/>
      <c r="Y11" s="445"/>
      <c r="Z11" s="445"/>
      <c r="AA11" s="445" t="str">
        <f ca="1">IF(AA3="","",AA3)</f>
        <v/>
      </c>
      <c r="AB11" s="445"/>
      <c r="AC11" s="445"/>
      <c r="AD11" s="448">
        <f ca="1">IF(AD3="","",IF(AK105=AW107,BP92,ROUNDUP(BP92/AH104,0)))</f>
        <v>32</v>
      </c>
      <c r="AE11" s="448"/>
      <c r="AF11" s="130" t="str">
        <f ca="1">IF(AD11="","",IF(AK105=AW107,AW107,AW108))</f>
        <v>cm</v>
      </c>
    </row>
    <row r="12" spans="1:35" s="47" customFormat="1" ht="15" customHeight="1" x14ac:dyDescent="0.25">
      <c r="A12" s="459"/>
      <c r="B12" s="460"/>
      <c r="C12" s="460"/>
      <c r="D12" s="461"/>
      <c r="E12" s="471"/>
      <c r="F12" s="472"/>
      <c r="G12" s="472"/>
      <c r="H12" s="472"/>
      <c r="I12" s="473"/>
      <c r="J12" s="433"/>
      <c r="K12" s="433"/>
      <c r="L12" s="442"/>
      <c r="M12" s="442"/>
      <c r="N12" s="442"/>
      <c r="O12" s="442"/>
      <c r="P12" s="442"/>
      <c r="Q12" s="442"/>
      <c r="R12" s="442"/>
      <c r="S12" s="442"/>
      <c r="T12" s="442"/>
      <c r="U12" s="442"/>
      <c r="V12" s="443"/>
      <c r="W12" s="446" t="str">
        <f ca="1">IF($AD$3="","",EW99)</f>
        <v>in open position</v>
      </c>
      <c r="X12" s="445"/>
      <c r="Y12" s="445"/>
      <c r="Z12" s="445"/>
      <c r="AA12" s="445" t="str">
        <f ca="1">IF(AA4 ="","",AA4)</f>
        <v/>
      </c>
      <c r="AB12" s="445"/>
      <c r="AC12" s="445"/>
      <c r="AD12" s="448" t="str">
        <f ca="1">IF($E$19=AW105,"",IF(AD3="","",IF(AK105=AW107,BR92,ROUNDUP(BR92/AH104,0))))</f>
        <v/>
      </c>
      <c r="AE12" s="448"/>
      <c r="AF12" s="130" t="str">
        <f ca="1">IF(AD12="","",AF11)</f>
        <v/>
      </c>
    </row>
    <row r="13" spans="1:35" s="47" customFormat="1" ht="15" customHeight="1" x14ac:dyDescent="0.25">
      <c r="A13" s="474" t="str">
        <f ca="1">IF(AK105=AW107,EW69,EW70)</f>
        <v xml:space="preserve">Track size in cm   = </v>
      </c>
      <c r="B13" s="475"/>
      <c r="C13" s="475"/>
      <c r="D13" s="476"/>
      <c r="E13" s="449">
        <v>100</v>
      </c>
      <c r="F13" s="450"/>
      <c r="G13" s="450"/>
      <c r="H13" s="450"/>
      <c r="I13" s="451"/>
      <c r="J13" s="433" t="str">
        <f ca="1">IF(A2="","",IF(H104+H105+H106+H107+K131&gt;=1,"!",""))</f>
        <v/>
      </c>
      <c r="K13" s="433"/>
      <c r="L13" s="502" t="str">
        <f ca="1">IF(E13="",EW87,IF(H105=1,EW90,IF(H106=1,EW89,IF(H107=1,EW88,IF(K131=1,EW147,"")))))</f>
        <v/>
      </c>
      <c r="M13" s="502"/>
      <c r="N13" s="502"/>
      <c r="O13" s="502"/>
      <c r="P13" s="502"/>
      <c r="Q13" s="502"/>
      <c r="R13" s="502"/>
      <c r="S13" s="502"/>
      <c r="T13" s="502"/>
      <c r="U13" s="502"/>
      <c r="V13" s="503"/>
      <c r="W13" s="446" t="str">
        <f ca="1">IF($AD$3="","",EW100)</f>
        <v>(minimal)</v>
      </c>
      <c r="X13" s="445"/>
      <c r="Y13" s="445"/>
      <c r="Z13" s="445"/>
      <c r="AA13" s="115"/>
      <c r="AB13" s="115"/>
      <c r="AC13" s="115"/>
      <c r="AE13" s="131"/>
      <c r="AF13" s="130"/>
    </row>
    <row r="14" spans="1:35" s="47" customFormat="1" ht="15" customHeight="1" x14ac:dyDescent="0.25">
      <c r="A14" s="459"/>
      <c r="B14" s="460"/>
      <c r="C14" s="460"/>
      <c r="D14" s="461"/>
      <c r="E14" s="452"/>
      <c r="F14" s="453"/>
      <c r="G14" s="453"/>
      <c r="H14" s="453"/>
      <c r="I14" s="454"/>
      <c r="J14" s="433"/>
      <c r="K14" s="433"/>
      <c r="L14" s="502"/>
      <c r="M14" s="502"/>
      <c r="N14" s="502"/>
      <c r="O14" s="502"/>
      <c r="P14" s="502"/>
      <c r="Q14" s="502"/>
      <c r="R14" s="502"/>
      <c r="S14" s="502"/>
      <c r="T14" s="502"/>
      <c r="U14" s="502"/>
      <c r="V14" s="503"/>
      <c r="W14" s="123"/>
      <c r="X14" s="132"/>
      <c r="Y14" s="132"/>
      <c r="Z14" s="132"/>
      <c r="AA14" s="133"/>
      <c r="AB14" s="133"/>
      <c r="AC14" s="133"/>
      <c r="AD14" s="132"/>
      <c r="AE14" s="132"/>
      <c r="AF14" s="130"/>
      <c r="AG14" s="128"/>
    </row>
    <row r="15" spans="1:35" s="47" customFormat="1" ht="15" customHeight="1" x14ac:dyDescent="0.25">
      <c r="A15" s="474" t="str">
        <f ca="1">EW71</f>
        <v xml:space="preserve">Type of Carrier    = </v>
      </c>
      <c r="B15" s="475"/>
      <c r="C15" s="475"/>
      <c r="D15" s="476"/>
      <c r="E15" s="506" t="s">
        <v>0</v>
      </c>
      <c r="F15" s="507"/>
      <c r="G15" s="507"/>
      <c r="H15" s="507"/>
      <c r="I15" s="508"/>
      <c r="J15" s="433" t="str">
        <f ca="1">IF(A2="","",IF(OR(H108=1,H110=1),"!",""))</f>
        <v/>
      </c>
      <c r="K15" s="433"/>
      <c r="L15" s="442" t="str">
        <f ca="1">IF(E15="",EW87,IF(H110=1,EW91,""))</f>
        <v/>
      </c>
      <c r="M15" s="442"/>
      <c r="N15" s="442"/>
      <c r="O15" s="442"/>
      <c r="P15" s="442"/>
      <c r="Q15" s="442"/>
      <c r="R15" s="442"/>
      <c r="S15" s="442"/>
      <c r="T15" s="442"/>
      <c r="U15" s="442"/>
      <c r="V15" s="443"/>
      <c r="W15" s="446" t="str">
        <f ca="1">IF($AD$15="","",IF($H$101=0,EW101,""))</f>
        <v>Total tape length</v>
      </c>
      <c r="X15" s="445"/>
      <c r="Y15" s="445"/>
      <c r="Z15" s="445"/>
      <c r="AA15" s="445" t="str">
        <f ca="1">IF(AD15="","",AA3)</f>
        <v/>
      </c>
      <c r="AB15" s="445"/>
      <c r="AC15" s="445"/>
      <c r="AD15" s="448" t="str">
        <f ca="1">IF($H$101=1,"",IF($I$101=1,"","± "&amp;IF(AK105=AW107,BP77,ROUNDUP(BP77/AH104,0))))</f>
        <v>± 224</v>
      </c>
      <c r="AE15" s="448"/>
      <c r="AF15" s="130" t="str">
        <f ca="1">IF(AD15="","",IF(AK105=AW107,AW107,AW108))</f>
        <v>cm</v>
      </c>
      <c r="AG15" s="134"/>
      <c r="AH15" s="135"/>
    </row>
    <row r="16" spans="1:35" s="47" customFormat="1" ht="15.75" customHeight="1" x14ac:dyDescent="0.25">
      <c r="A16" s="459"/>
      <c r="B16" s="460"/>
      <c r="C16" s="460"/>
      <c r="D16" s="461"/>
      <c r="E16" s="452"/>
      <c r="F16" s="453"/>
      <c r="G16" s="453"/>
      <c r="H16" s="453"/>
      <c r="I16" s="454"/>
      <c r="J16" s="433"/>
      <c r="K16" s="433"/>
      <c r="L16" s="442"/>
      <c r="M16" s="442"/>
      <c r="N16" s="442"/>
      <c r="O16" s="442"/>
      <c r="P16" s="442"/>
      <c r="Q16" s="442"/>
      <c r="R16" s="442"/>
      <c r="S16" s="442"/>
      <c r="T16" s="442"/>
      <c r="U16" s="442"/>
      <c r="V16" s="443"/>
      <c r="W16" s="446" t="str">
        <f ca="1">IF($AD$15="","",IF($H$101=0,EW102,""))</f>
        <v>required</v>
      </c>
      <c r="X16" s="445"/>
      <c r="Y16" s="445"/>
      <c r="Z16" s="445"/>
      <c r="AA16" s="445" t="str">
        <f ca="1">IF(AA15="","",IF(E19=AW105,"",AA4))</f>
        <v/>
      </c>
      <c r="AB16" s="445"/>
      <c r="AC16" s="445"/>
      <c r="AD16" s="448" t="str">
        <f ca="1">IF(AD15="","",IF($E$19=AW105,"","± "&amp;IF(AK105=AW107,BR77,ROUNDUP(BR77/AH104,0))))</f>
        <v/>
      </c>
      <c r="AE16" s="448"/>
      <c r="AF16" s="130" t="str">
        <f ca="1">IF(AD16="","",AF15)</f>
        <v/>
      </c>
      <c r="AG16" s="134"/>
      <c r="AH16" s="135"/>
    </row>
    <row r="17" spans="1:35" s="47" customFormat="1" ht="15.75" customHeight="1" x14ac:dyDescent="0.25">
      <c r="A17" s="474" t="str">
        <f ca="1">EW73</f>
        <v xml:space="preserve">Carrier distance   = </v>
      </c>
      <c r="B17" s="475"/>
      <c r="C17" s="475"/>
      <c r="D17" s="476"/>
      <c r="E17" s="509" t="s">
        <v>8</v>
      </c>
      <c r="F17" s="510"/>
      <c r="G17" s="510"/>
      <c r="H17" s="510"/>
      <c r="I17" s="511"/>
      <c r="J17" s="433" t="str">
        <f ca="1">IF(A2="","",IF(OR(H111=1,H109=1,H112=1),"!",""))</f>
        <v/>
      </c>
      <c r="K17" s="433"/>
      <c r="L17" s="442" t="str">
        <f ca="1">IF(E17="",EW87,IF(H112=1,EW91,""))</f>
        <v/>
      </c>
      <c r="M17" s="442"/>
      <c r="N17" s="442"/>
      <c r="O17" s="442"/>
      <c r="P17" s="442"/>
      <c r="Q17" s="442"/>
      <c r="R17" s="442"/>
      <c r="S17" s="442"/>
      <c r="T17" s="442"/>
      <c r="U17" s="442"/>
      <c r="V17" s="443"/>
      <c r="W17" s="123"/>
      <c r="AD17" s="131"/>
      <c r="AE17" s="131"/>
      <c r="AF17" s="130" t="str">
        <f>IF(AD17="","","cm")</f>
        <v/>
      </c>
      <c r="AG17" s="134"/>
      <c r="AH17" s="135"/>
    </row>
    <row r="18" spans="1:35" s="47" customFormat="1" ht="15" customHeight="1" x14ac:dyDescent="0.25">
      <c r="A18" s="459"/>
      <c r="B18" s="460"/>
      <c r="C18" s="460"/>
      <c r="D18" s="461"/>
      <c r="E18" s="512"/>
      <c r="F18" s="513"/>
      <c r="G18" s="513"/>
      <c r="H18" s="513"/>
      <c r="I18" s="514"/>
      <c r="J18" s="433"/>
      <c r="K18" s="433"/>
      <c r="L18" s="442"/>
      <c r="M18" s="442"/>
      <c r="N18" s="442"/>
      <c r="O18" s="442"/>
      <c r="P18" s="442"/>
      <c r="Q18" s="442"/>
      <c r="R18" s="442"/>
      <c r="S18" s="442"/>
      <c r="T18" s="442"/>
      <c r="U18" s="442"/>
      <c r="V18" s="443"/>
      <c r="W18" s="123"/>
      <c r="AD18" s="131"/>
      <c r="AE18" s="131"/>
      <c r="AF18" s="130" t="str">
        <f>IF(AD18="","","cm")</f>
        <v/>
      </c>
      <c r="AI18" s="108"/>
    </row>
    <row r="19" spans="1:35" s="47" customFormat="1" ht="15" customHeight="1" x14ac:dyDescent="0.25">
      <c r="A19" s="465" t="str">
        <f ca="1">EW76</f>
        <v>One-way draw &lt;&gt;</v>
      </c>
      <c r="B19" s="466"/>
      <c r="C19" s="466"/>
      <c r="D19" s="467"/>
      <c r="E19" s="449" t="s">
        <v>11</v>
      </c>
      <c r="F19" s="450"/>
      <c r="G19" s="450"/>
      <c r="H19" s="450"/>
      <c r="I19" s="451"/>
      <c r="J19" s="433" t="str">
        <f ca="1">IF(A2="","",IF(H113+H119+H114&gt;=1,"!",""))</f>
        <v/>
      </c>
      <c r="K19" s="433"/>
      <c r="L19" s="442" t="str">
        <f ca="1">IF(E19="",EW87,IF(H119=1,EW91,IF(H114=1,EW93,"")))</f>
        <v/>
      </c>
      <c r="M19" s="442"/>
      <c r="N19" s="442"/>
      <c r="O19" s="442"/>
      <c r="P19" s="442"/>
      <c r="Q19" s="442"/>
      <c r="R19" s="442"/>
      <c r="S19" s="442"/>
      <c r="T19" s="442"/>
      <c r="U19" s="442"/>
      <c r="V19" s="443"/>
      <c r="W19" s="446" t="str">
        <f ca="1">IF($AD$15="","",IF($H$101=0,EW103,""))</f>
        <v>Curtain fullness</v>
      </c>
      <c r="X19" s="445"/>
      <c r="Y19" s="445"/>
      <c r="Z19" s="445"/>
      <c r="AA19" s="445" t="str">
        <f ca="1">IF(AA15="","",AA3)</f>
        <v/>
      </c>
      <c r="AB19" s="445"/>
      <c r="AC19" s="445"/>
      <c r="AD19" s="447">
        <f ca="1">IF(AD15="","",BP82)</f>
        <v>224.00000000000003</v>
      </c>
      <c r="AE19" s="447"/>
      <c r="AF19" s="130" t="str">
        <f ca="1">IF(AD19="","","%")</f>
        <v>%</v>
      </c>
    </row>
    <row r="20" spans="1:35" s="47" customFormat="1" ht="15" customHeight="1" x14ac:dyDescent="0.25">
      <c r="A20" s="462" t="str">
        <f ca="1">EW77</f>
        <v xml:space="preserve">Center closing   = </v>
      </c>
      <c r="B20" s="463"/>
      <c r="C20" s="463"/>
      <c r="D20" s="464"/>
      <c r="E20" s="452"/>
      <c r="F20" s="453"/>
      <c r="G20" s="453"/>
      <c r="H20" s="453"/>
      <c r="I20" s="454"/>
      <c r="J20" s="433"/>
      <c r="K20" s="433"/>
      <c r="L20" s="442"/>
      <c r="M20" s="442"/>
      <c r="N20" s="442"/>
      <c r="O20" s="442"/>
      <c r="P20" s="442"/>
      <c r="Q20" s="442"/>
      <c r="R20" s="442"/>
      <c r="S20" s="442"/>
      <c r="T20" s="442"/>
      <c r="U20" s="442"/>
      <c r="V20" s="443"/>
      <c r="W20" s="123"/>
      <c r="AA20" s="445" t="str">
        <f ca="1">IF(AA16="","",AA4)</f>
        <v/>
      </c>
      <c r="AB20" s="445"/>
      <c r="AC20" s="445"/>
      <c r="AD20" s="447" t="str">
        <f ca="1">IF(AD16="","",BR82)</f>
        <v/>
      </c>
      <c r="AE20" s="447"/>
      <c r="AF20" s="130" t="str">
        <f ca="1">IF(AD20="","","%")</f>
        <v/>
      </c>
    </row>
    <row r="21" spans="1:35" s="47" customFormat="1" ht="15" customHeight="1" x14ac:dyDescent="0.25">
      <c r="A21" s="474" t="str">
        <f ca="1">IF($P$57=0,"",EW78)</f>
        <v xml:space="preserve">Master type     = </v>
      </c>
      <c r="B21" s="475"/>
      <c r="C21" s="475"/>
      <c r="D21" s="476"/>
      <c r="E21" s="509" t="s">
        <v>51</v>
      </c>
      <c r="F21" s="510"/>
      <c r="G21" s="510"/>
      <c r="H21" s="510"/>
      <c r="I21" s="511"/>
      <c r="J21" s="433" t="str">
        <f ca="1">IF(A2="","",IF(H115+H116&gt;=1,"!",""))</f>
        <v/>
      </c>
      <c r="K21" s="433"/>
      <c r="L21" s="442" t="str">
        <f ca="1">IF(J21="","",IF(E21="",EW87,IF(H116=1,EW93,"")))</f>
        <v/>
      </c>
      <c r="M21" s="442"/>
      <c r="N21" s="442"/>
      <c r="O21" s="442"/>
      <c r="P21" s="442"/>
      <c r="Q21" s="442"/>
      <c r="R21" s="442"/>
      <c r="S21" s="442"/>
      <c r="T21" s="442"/>
      <c r="U21" s="442"/>
      <c r="V21" s="443"/>
      <c r="W21" s="123"/>
      <c r="AF21" s="130"/>
    </row>
    <row r="22" spans="1:35" s="47" customFormat="1" ht="15" customHeight="1" x14ac:dyDescent="0.25">
      <c r="A22" s="459"/>
      <c r="B22" s="460"/>
      <c r="C22" s="460"/>
      <c r="D22" s="461"/>
      <c r="E22" s="512"/>
      <c r="F22" s="513"/>
      <c r="G22" s="513"/>
      <c r="H22" s="513"/>
      <c r="I22" s="514"/>
      <c r="J22" s="433"/>
      <c r="K22" s="433"/>
      <c r="L22" s="442"/>
      <c r="M22" s="442"/>
      <c r="N22" s="442"/>
      <c r="O22" s="442"/>
      <c r="P22" s="442"/>
      <c r="Q22" s="442"/>
      <c r="R22" s="442"/>
      <c r="S22" s="442"/>
      <c r="T22" s="442"/>
      <c r="U22" s="442"/>
      <c r="V22" s="443"/>
      <c r="W22" s="123"/>
      <c r="AF22" s="130"/>
    </row>
    <row r="23" spans="1:35" s="47" customFormat="1" ht="15" customHeight="1" x14ac:dyDescent="0.25">
      <c r="A23" s="465" t="str">
        <f ca="1">IF(E11=A76,EW80,"")</f>
        <v/>
      </c>
      <c r="B23" s="466"/>
      <c r="C23" s="466"/>
      <c r="D23" s="467"/>
      <c r="E23" s="449"/>
      <c r="F23" s="450"/>
      <c r="G23" s="450"/>
      <c r="H23" s="450"/>
      <c r="I23" s="451"/>
      <c r="J23" s="433" t="str">
        <f ca="1">IF(A2="","",IF(L23="","","!"))</f>
        <v/>
      </c>
      <c r="K23" s="433"/>
      <c r="L23" s="442" t="str">
        <f ca="1">IF(E11=A76,IF(E23="",EW87,IF(H118=1,EW90,IF(H121=1,EW88,IF(H120=1,EW89,"")))),"")</f>
        <v/>
      </c>
      <c r="M23" s="442"/>
      <c r="N23" s="442"/>
      <c r="O23" s="442"/>
      <c r="P23" s="442"/>
      <c r="Q23" s="442"/>
      <c r="R23" s="442"/>
      <c r="S23" s="442"/>
      <c r="T23" s="442"/>
      <c r="U23" s="442"/>
      <c r="V23" s="443"/>
      <c r="W23" s="418" t="str">
        <f ca="1">IF($AD$15="","",EW104)</f>
        <v xml:space="preserve">    Total depth of the curtain:</v>
      </c>
      <c r="X23" s="419"/>
      <c r="Y23" s="419"/>
      <c r="Z23" s="419"/>
      <c r="AA23" s="419"/>
      <c r="AB23" s="419"/>
      <c r="AE23" s="136"/>
      <c r="AF23" s="137"/>
    </row>
    <row r="24" spans="1:35" s="47" customFormat="1" ht="15" customHeight="1" x14ac:dyDescent="0.25">
      <c r="A24" s="462" t="str">
        <f ca="1">IF(E11=A76,EW81,"")</f>
        <v/>
      </c>
      <c r="B24" s="463"/>
      <c r="C24" s="463"/>
      <c r="D24" s="464"/>
      <c r="E24" s="452"/>
      <c r="F24" s="453"/>
      <c r="G24" s="453"/>
      <c r="H24" s="453"/>
      <c r="I24" s="454"/>
      <c r="J24" s="433"/>
      <c r="K24" s="433"/>
      <c r="L24" s="442"/>
      <c r="M24" s="442"/>
      <c r="N24" s="442"/>
      <c r="O24" s="442"/>
      <c r="P24" s="442"/>
      <c r="Q24" s="442"/>
      <c r="R24" s="442"/>
      <c r="S24" s="442"/>
      <c r="T24" s="442"/>
      <c r="U24" s="442"/>
      <c r="V24" s="443"/>
      <c r="W24" s="138" t="str">
        <f ca="1">IF(X24="","","-")</f>
        <v>-</v>
      </c>
      <c r="X24" s="419" t="str">
        <f ca="1">IF($AD$15="","",EW105)</f>
        <v>In closed position</v>
      </c>
      <c r="Y24" s="419"/>
      <c r="Z24" s="419"/>
      <c r="AA24" s="419"/>
      <c r="AB24" s="419"/>
      <c r="AD24" s="417" t="str">
        <f ca="1">IF(AD15="","","± "&amp;IF(AK105=AW107,BV122,ROUNDUP(BV122/AH104,0)))</f>
        <v>± 13</v>
      </c>
      <c r="AE24" s="417"/>
      <c r="AF24" s="137" t="str">
        <f ca="1">IF(AD24="","",IF(AK105=AW107,AW107,AW108))</f>
        <v>cm</v>
      </c>
    </row>
    <row r="25" spans="1:35" s="47" customFormat="1" ht="15" customHeight="1" x14ac:dyDescent="0.25">
      <c r="A25" s="491" t="str">
        <f ca="1">IF(J57=2,IF(E19=AW105,"",EW82),"")</f>
        <v/>
      </c>
      <c r="B25" s="492"/>
      <c r="C25" s="492"/>
      <c r="D25" s="493"/>
      <c r="E25" s="449"/>
      <c r="F25" s="450"/>
      <c r="G25" s="450"/>
      <c r="H25" s="450"/>
      <c r="I25" s="451"/>
      <c r="J25" s="139"/>
      <c r="K25" s="124"/>
      <c r="P25" s="140"/>
      <c r="W25" s="138" t="str">
        <f ca="1">IF(X25="","","-")</f>
        <v>-</v>
      </c>
      <c r="X25" s="419" t="str">
        <f ca="1">IF($AD$15="","",EW106)</f>
        <v>With open position</v>
      </c>
      <c r="Y25" s="419"/>
      <c r="Z25" s="419"/>
      <c r="AA25" s="419"/>
      <c r="AB25" s="419"/>
      <c r="AD25" s="417" t="str">
        <f ca="1">IF(AD15="","","± "&amp;IF(AK105=AW107,BY122,ROUNDUP(BY122/AH104,0)))</f>
        <v>± 16</v>
      </c>
      <c r="AE25" s="417"/>
      <c r="AF25" s="137" t="str">
        <f ca="1">IF(AD25="","",IF(AK105=AW107,AW107,AW108))</f>
        <v>cm</v>
      </c>
    </row>
    <row r="26" spans="1:35" s="47" customFormat="1" ht="15" customHeight="1" thickBot="1" x14ac:dyDescent="0.3">
      <c r="A26" s="459" t="str">
        <f ca="1">IF(J57=2,IF(E19=AW105,"",EW83),"")</f>
        <v/>
      </c>
      <c r="B26" s="460"/>
      <c r="C26" s="460"/>
      <c r="D26" s="461"/>
      <c r="E26" s="452"/>
      <c r="F26" s="453"/>
      <c r="G26" s="453"/>
      <c r="H26" s="453"/>
      <c r="I26" s="454"/>
      <c r="J26" s="124"/>
      <c r="K26" s="124"/>
      <c r="O26" s="504" t="str">
        <f ca="1">IF(A25="","",IF($BV$65=0,"",IF(J101&gt;=1,"",E25)))</f>
        <v/>
      </c>
      <c r="P26" s="504"/>
      <c r="Q26" s="47" t="str">
        <f ca="1">IF(A25="","",IF(BV65=0,"",IF(J101&gt;=1,"","cm")))</f>
        <v/>
      </c>
      <c r="W26" s="141"/>
      <c r="X26" s="142"/>
      <c r="Y26" s="142"/>
      <c r="Z26" s="142"/>
      <c r="AA26" s="142"/>
      <c r="AB26" s="142"/>
      <c r="AC26" s="142"/>
      <c r="AD26" s="142"/>
      <c r="AE26" s="142"/>
      <c r="AF26" s="143"/>
    </row>
    <row r="27" spans="1:35" s="47" customFormat="1" ht="15" customHeight="1" x14ac:dyDescent="0.25">
      <c r="A27" s="477" t="str">
        <f ca="1">EW84</f>
        <v>Distance between</v>
      </c>
      <c r="B27" s="478"/>
      <c r="C27" s="478"/>
      <c r="D27" s="479"/>
      <c r="E27" s="480">
        <v>16</v>
      </c>
      <c r="F27" s="481"/>
      <c r="G27" s="481"/>
      <c r="H27" s="481"/>
      <c r="I27" s="482"/>
      <c r="J27" s="433" t="str">
        <f>IF(A2="","",IF(I129=1,"!",""))</f>
        <v/>
      </c>
      <c r="K27" s="433"/>
      <c r="M27" s="444" t="str">
        <f>IF(J27="","",IF(I129=1,EW91,""))</f>
        <v/>
      </c>
      <c r="N27" s="444"/>
      <c r="O27" s="444"/>
      <c r="P27" s="444"/>
      <c r="Q27" s="444"/>
      <c r="R27" s="444"/>
      <c r="S27" s="444"/>
      <c r="T27" s="256"/>
      <c r="U27" s="256"/>
      <c r="V27" s="256"/>
    </row>
    <row r="28" spans="1:35" s="47" customFormat="1" ht="15.75" customHeight="1" thickBot="1" x14ac:dyDescent="0.3">
      <c r="A28" s="496" t="str">
        <f ca="1">IF(AK105=AW107,EW85,EW86)</f>
        <v xml:space="preserve"> hooks in cm*    = </v>
      </c>
      <c r="B28" s="497"/>
      <c r="C28" s="497"/>
      <c r="D28" s="498"/>
      <c r="E28" s="483"/>
      <c r="F28" s="484"/>
      <c r="G28" s="484"/>
      <c r="H28" s="484"/>
      <c r="I28" s="485"/>
      <c r="J28" s="433"/>
      <c r="K28" s="433"/>
      <c r="L28" s="256"/>
      <c r="M28" s="444"/>
      <c r="N28" s="444"/>
      <c r="O28" s="444"/>
      <c r="P28" s="444"/>
      <c r="Q28" s="444"/>
      <c r="R28" s="444"/>
      <c r="S28" s="444"/>
      <c r="T28" s="256"/>
      <c r="U28" s="256"/>
      <c r="V28" s="256"/>
      <c r="W28" s="115"/>
      <c r="X28" s="115"/>
      <c r="Y28" s="115"/>
      <c r="Z28" s="115"/>
      <c r="AA28" s="115"/>
      <c r="AB28" s="115"/>
      <c r="AC28" s="115"/>
      <c r="AD28" s="115"/>
      <c r="AE28" s="115"/>
    </row>
    <row r="29" spans="1:35" s="47" customFormat="1" x14ac:dyDescent="0.25">
      <c r="B29" s="115"/>
      <c r="C29" s="115"/>
      <c r="D29" s="115"/>
      <c r="E29" s="115"/>
      <c r="F29" s="115"/>
      <c r="G29" s="115"/>
      <c r="H29" s="115"/>
      <c r="I29" s="115"/>
      <c r="M29" s="121"/>
      <c r="N29" s="121"/>
      <c r="O29" s="121"/>
      <c r="P29" s="121"/>
      <c r="Q29" s="121"/>
      <c r="R29" s="121"/>
      <c r="S29" s="121"/>
      <c r="T29" s="121"/>
      <c r="W29" s="121"/>
      <c r="X29" s="121"/>
      <c r="Y29" s="121"/>
      <c r="Z29" s="121"/>
      <c r="AA29" s="121"/>
      <c r="AB29" s="121"/>
      <c r="AC29" s="121"/>
      <c r="AD29" s="121"/>
      <c r="AE29" s="121"/>
    </row>
    <row r="30" spans="1:35" s="47" customFormat="1" x14ac:dyDescent="0.25">
      <c r="B30" s="115"/>
      <c r="C30" s="115"/>
      <c r="D30" s="115"/>
      <c r="E30" s="115"/>
      <c r="F30" s="115"/>
      <c r="G30" s="115"/>
      <c r="H30" s="115"/>
      <c r="I30" s="115"/>
      <c r="M30" s="121"/>
      <c r="N30" s="121"/>
      <c r="O30" s="121"/>
      <c r="P30" s="121"/>
      <c r="Q30" s="121"/>
      <c r="R30" s="121"/>
      <c r="S30" s="121"/>
      <c r="T30" s="121"/>
      <c r="W30" s="121"/>
      <c r="X30" s="121"/>
      <c r="Y30" s="121"/>
      <c r="Z30" s="121"/>
      <c r="AA30" s="121"/>
      <c r="AB30" s="121"/>
      <c r="AC30" s="121"/>
      <c r="AD30" s="121"/>
      <c r="AE30" s="121"/>
    </row>
    <row r="31" spans="1:35" s="47" customFormat="1" x14ac:dyDescent="0.25">
      <c r="N31" s="115"/>
      <c r="P31" s="115"/>
      <c r="X31" s="115"/>
      <c r="AA31" s="115"/>
      <c r="AC31" s="115"/>
    </row>
    <row r="32" spans="1:35" s="47" customFormat="1" x14ac:dyDescent="0.25"/>
    <row r="33" spans="1:73" s="47" customFormat="1" x14ac:dyDescent="0.25"/>
    <row r="34" spans="1:73" s="47" customFormat="1" x14ac:dyDescent="0.25">
      <c r="A34" s="144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251"/>
      <c r="BD34" s="251"/>
      <c r="BE34" s="251"/>
      <c r="BF34" s="251"/>
      <c r="BG34" s="251"/>
      <c r="BH34" s="251"/>
      <c r="BI34" s="251"/>
      <c r="BJ34" s="251"/>
      <c r="BK34" s="251"/>
      <c r="BL34" s="251"/>
      <c r="BM34" s="251"/>
      <c r="BN34" s="251"/>
      <c r="BO34" s="251"/>
      <c r="BP34" s="251"/>
      <c r="BQ34" s="251"/>
    </row>
    <row r="35" spans="1:73" s="47" customFormat="1" x14ac:dyDescent="0.25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AL35" s="251"/>
      <c r="AM35" s="251"/>
      <c r="AN35" s="251"/>
      <c r="AO35" s="251"/>
      <c r="AP35" s="251"/>
      <c r="AQ35" s="251"/>
      <c r="AR35" s="251"/>
      <c r="AS35" s="251"/>
      <c r="AT35" s="251"/>
      <c r="AU35" s="251"/>
      <c r="AV35" s="251"/>
      <c r="AW35" s="251"/>
      <c r="AX35" s="251"/>
      <c r="AY35" s="251"/>
      <c r="AZ35" s="251"/>
      <c r="BA35" s="251"/>
      <c r="BB35" s="251"/>
      <c r="BC35" s="251"/>
      <c r="BD35" s="251"/>
      <c r="BE35" s="251"/>
      <c r="BF35" s="251"/>
      <c r="BG35" s="251"/>
      <c r="BH35" s="251"/>
      <c r="BI35" s="251"/>
      <c r="BJ35" s="251"/>
      <c r="BK35" s="251"/>
      <c r="BL35" s="251"/>
      <c r="BM35" s="251"/>
      <c r="BN35" s="251"/>
      <c r="BO35" s="251"/>
      <c r="BP35" s="251"/>
      <c r="BQ35" s="251"/>
    </row>
    <row r="36" spans="1:73" s="47" customFormat="1" x14ac:dyDescent="0.25">
      <c r="A36" s="144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AJ36" s="251"/>
      <c r="AL36" s="251"/>
      <c r="AM36" s="251"/>
      <c r="AN36" s="251"/>
      <c r="AO36" s="251"/>
      <c r="AP36" s="251"/>
      <c r="AQ36" s="251"/>
      <c r="AR36" s="251"/>
      <c r="AS36" s="251"/>
      <c r="AT36" s="251"/>
      <c r="AU36" s="251"/>
      <c r="AV36" s="251"/>
      <c r="AW36" s="251"/>
      <c r="AX36" s="251"/>
      <c r="AY36" s="251"/>
      <c r="AZ36" s="251"/>
      <c r="BA36" s="251"/>
      <c r="BB36" s="251"/>
      <c r="BC36" s="251"/>
      <c r="BD36" s="251"/>
      <c r="BE36" s="251"/>
      <c r="BF36" s="251"/>
      <c r="BG36" s="251"/>
      <c r="BH36" s="251"/>
      <c r="BI36" s="251"/>
      <c r="BJ36" s="251"/>
      <c r="BK36" s="251"/>
      <c r="BL36" s="251"/>
      <c r="BM36" s="251"/>
      <c r="BN36" s="251"/>
      <c r="BO36" s="251"/>
      <c r="BP36" s="251"/>
      <c r="BQ36" s="251"/>
    </row>
    <row r="37" spans="1:73" s="47" customFormat="1" x14ac:dyDescent="0.25">
      <c r="A37" s="144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AN37" s="48"/>
      <c r="AO37" s="48"/>
      <c r="AP37" s="252"/>
      <c r="AQ37" s="252"/>
      <c r="AR37" s="252"/>
    </row>
    <row r="38" spans="1:73" s="47" customFormat="1" x14ac:dyDescent="0.25">
      <c r="A38" s="144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AJ38" s="251"/>
    </row>
    <row r="39" spans="1:73" s="47" customFormat="1" x14ac:dyDescent="0.25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15">
        <f ca="1">IF($H$101=1,"",1)</f>
        <v>1</v>
      </c>
      <c r="N39" s="115"/>
      <c r="O39" s="115" t="str">
        <f ca="1">IF($H$101=1,"","...")</f>
        <v>...</v>
      </c>
      <c r="P39" s="115"/>
      <c r="Q39" s="115" t="str">
        <f ca="1">IF($H$101=1,"",IF($E$19=$AW$105,"...",BP74-1))</f>
        <v>...</v>
      </c>
      <c r="R39" s="115"/>
      <c r="S39" s="115" t="str">
        <f ca="1">IF($H$101=1,"",IF($E$19=$AW$105,"...",BP74))</f>
        <v>...</v>
      </c>
      <c r="T39" s="115"/>
      <c r="U39" s="115" t="str">
        <f ca="1">IF($H$101=1,"",IF($E$19=$AW$105,"...",""))</f>
        <v>...</v>
      </c>
      <c r="V39" s="115"/>
      <c r="W39" s="115" t="str">
        <f ca="1">IF($H$101=1,"",IF($E$19=$AW$105,"...",""))</f>
        <v>...</v>
      </c>
      <c r="X39" s="115"/>
      <c r="Y39" s="115">
        <f ca="1">IF($H$101=1,"",IF($E$19=$AW$105,BP74-1,BR74))</f>
        <v>13</v>
      </c>
      <c r="Z39" s="115"/>
      <c r="AA39" s="115">
        <f ca="1">IF($H$101=1,"",IF($E$19=$AW$105,BP74,BR74-1))</f>
        <v>14</v>
      </c>
      <c r="AB39" s="115"/>
      <c r="AC39" s="115" t="str">
        <f ca="1">IF($H$101=1,"",IF($E$19=$AW$105,"","..."))</f>
        <v/>
      </c>
      <c r="AD39" s="115"/>
      <c r="AE39" s="115" t="str">
        <f ca="1">IF($H$101=1,"",IF($E$19=$AW$105,"",1))</f>
        <v/>
      </c>
      <c r="AJ39" s="251"/>
    </row>
    <row r="40" spans="1:73" s="47" customFormat="1" x14ac:dyDescent="0.25">
      <c r="A40" s="486" t="str">
        <f ca="1">EW118</f>
        <v>*  In combination with 'Easyflex hook fitter 9900000017'.</v>
      </c>
      <c r="B40" s="486"/>
      <c r="C40" s="486"/>
      <c r="D40" s="486"/>
      <c r="E40" s="486"/>
      <c r="F40" s="486"/>
      <c r="G40" s="486"/>
      <c r="H40" s="486"/>
      <c r="I40" s="486"/>
      <c r="J40" s="486"/>
      <c r="K40" s="486"/>
      <c r="L40" s="486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J40" s="251"/>
      <c r="BB40" s="244"/>
      <c r="BT40" s="419"/>
      <c r="BU40" s="419"/>
    </row>
    <row r="41" spans="1:73" s="47" customFormat="1" x14ac:dyDescent="0.25">
      <c r="A41" s="486" t="str">
        <f ca="1">EW119</f>
        <v>** Includes carriers that are placed inside master carriers.</v>
      </c>
      <c r="B41" s="486"/>
      <c r="C41" s="486"/>
      <c r="D41" s="486"/>
      <c r="E41" s="486"/>
      <c r="F41" s="486"/>
      <c r="G41" s="486"/>
      <c r="H41" s="486"/>
      <c r="I41" s="486"/>
      <c r="J41" s="486"/>
      <c r="K41" s="486"/>
      <c r="L41" s="486"/>
      <c r="M41" s="486"/>
      <c r="N41" s="486"/>
      <c r="O41" s="486"/>
      <c r="P41" s="486"/>
      <c r="Q41" s="486"/>
      <c r="T41" s="115"/>
      <c r="W41" s="115"/>
      <c r="AJ41" s="251"/>
    </row>
    <row r="42" spans="1:73" s="47" customFormat="1" x14ac:dyDescent="0.25">
      <c r="A42" s="486" t="str">
        <f ca="1">EW120</f>
        <v>*** Always measured from the left side, only for hand operated curtains.</v>
      </c>
      <c r="B42" s="486"/>
      <c r="C42" s="486"/>
      <c r="D42" s="486"/>
      <c r="E42" s="486"/>
      <c r="F42" s="486"/>
      <c r="G42" s="486"/>
      <c r="H42" s="486"/>
      <c r="I42" s="486"/>
      <c r="J42" s="486"/>
      <c r="K42" s="486"/>
      <c r="L42" s="486"/>
      <c r="M42" s="486"/>
      <c r="N42" s="486"/>
      <c r="O42" s="486"/>
      <c r="P42" s="486"/>
      <c r="Q42" s="486"/>
      <c r="BT42" s="253"/>
    </row>
    <row r="43" spans="1:73" s="47" customFormat="1" x14ac:dyDescent="0.25">
      <c r="A43" s="486" t="str">
        <f ca="1">EW121</f>
        <v>- Product tolerances are calculated in the final results.</v>
      </c>
      <c r="B43" s="486"/>
      <c r="C43" s="486"/>
      <c r="D43" s="486"/>
      <c r="E43" s="486"/>
      <c r="F43" s="486"/>
      <c r="G43" s="486"/>
      <c r="H43" s="486"/>
      <c r="I43" s="486"/>
      <c r="J43" s="486"/>
      <c r="K43" s="486"/>
      <c r="L43" s="486"/>
      <c r="M43" s="486"/>
      <c r="N43" s="486"/>
      <c r="O43" s="486"/>
      <c r="P43" s="486"/>
      <c r="Q43" s="486"/>
    </row>
    <row r="44" spans="1:73" s="47" customFormat="1" x14ac:dyDescent="0.25">
      <c r="A44" s="486" t="str">
        <f ca="1">EW122</f>
        <v>- No rights can be derived from this calculation tool.</v>
      </c>
      <c r="B44" s="486"/>
      <c r="C44" s="486"/>
      <c r="D44" s="486"/>
      <c r="E44" s="486"/>
      <c r="F44" s="486"/>
      <c r="G44" s="486"/>
      <c r="H44" s="486"/>
      <c r="I44" s="486"/>
      <c r="J44" s="486"/>
      <c r="K44" s="486"/>
      <c r="L44" s="486"/>
      <c r="M44" s="486"/>
      <c r="N44" s="486"/>
      <c r="O44" s="486"/>
      <c r="P44" s="486"/>
      <c r="Q44" s="486"/>
      <c r="AZ44" s="244"/>
      <c r="BT44" s="253"/>
    </row>
    <row r="45" spans="1:73" s="47" customFormat="1" x14ac:dyDescent="0.25">
      <c r="A45" s="486" t="str">
        <f ca="1">IF(L101=0,"",EW123)</f>
        <v/>
      </c>
      <c r="B45" s="486"/>
      <c r="C45" s="486"/>
      <c r="D45" s="486"/>
      <c r="E45" s="486"/>
      <c r="F45" s="486"/>
      <c r="G45" s="486"/>
      <c r="H45" s="486"/>
      <c r="I45" s="486"/>
      <c r="J45" s="486"/>
      <c r="K45" s="486"/>
      <c r="L45" s="486"/>
      <c r="M45" s="486"/>
      <c r="N45" s="486"/>
      <c r="O45" s="486"/>
      <c r="P45" s="486"/>
      <c r="Q45" s="486"/>
      <c r="R45" s="486"/>
      <c r="AZ45" s="244"/>
    </row>
    <row r="46" spans="1:73" s="4" customFormat="1" ht="15" hidden="1" customHeight="1" x14ac:dyDescent="0.25">
      <c r="R46" s="25"/>
      <c r="T46" s="25"/>
      <c r="BC46" s="11"/>
    </row>
    <row r="47" spans="1:73" s="4" customFormat="1" ht="15" hidden="1" customHeight="1" x14ac:dyDescent="0.25">
      <c r="A47" s="33" t="s">
        <v>56</v>
      </c>
      <c r="B47" s="25"/>
      <c r="C47" s="25"/>
      <c r="D47" s="25"/>
      <c r="E47" s="25"/>
      <c r="F47" s="25"/>
      <c r="G47" s="437" t="s">
        <v>48</v>
      </c>
      <c r="H47" s="438"/>
      <c r="J47" s="437" t="s">
        <v>27</v>
      </c>
      <c r="K47" s="494" t="s">
        <v>71</v>
      </c>
      <c r="L47" s="499" t="s">
        <v>288</v>
      </c>
      <c r="M47" s="420" t="s">
        <v>270</v>
      </c>
      <c r="N47" s="428"/>
      <c r="O47" s="428" t="s">
        <v>301</v>
      </c>
      <c r="P47" s="420" t="s">
        <v>299</v>
      </c>
      <c r="Q47" s="430" t="s">
        <v>274</v>
      </c>
      <c r="R47" s="6"/>
      <c r="T47" s="187"/>
      <c r="U47" s="209"/>
      <c r="X47" s="169"/>
      <c r="Y47" s="169"/>
      <c r="Z47" s="210"/>
      <c r="AA47" s="274"/>
      <c r="AJ47" s="168"/>
      <c r="AS47" s="274"/>
      <c r="AT47" s="274"/>
      <c r="AU47" s="274"/>
      <c r="AV47" s="274"/>
      <c r="AW47" s="274"/>
      <c r="AX47" s="274"/>
      <c r="AY47" s="274"/>
      <c r="AZ47" s="274"/>
      <c r="BA47" s="274"/>
      <c r="BB47" s="274"/>
      <c r="BC47" s="10"/>
      <c r="BD47" s="274"/>
      <c r="BE47" s="274"/>
      <c r="BF47" s="274"/>
      <c r="BG47" s="274"/>
      <c r="BH47" s="274"/>
      <c r="BI47" s="274"/>
      <c r="BJ47" s="274"/>
      <c r="BM47" s="170"/>
      <c r="BN47" s="170"/>
      <c r="BO47" s="170"/>
      <c r="BP47" s="170"/>
      <c r="BQ47" s="170"/>
      <c r="BR47" s="170"/>
      <c r="BS47" s="170"/>
      <c r="BT47" s="170"/>
      <c r="BU47" s="170"/>
    </row>
    <row r="48" spans="1:73" s="4" customFormat="1" hidden="1" x14ac:dyDescent="0.25">
      <c r="F48" s="25"/>
      <c r="G48" s="437"/>
      <c r="H48" s="438"/>
      <c r="J48" s="437"/>
      <c r="K48" s="494"/>
      <c r="L48" s="499"/>
      <c r="M48" s="420"/>
      <c r="N48" s="428"/>
      <c r="O48" s="428"/>
      <c r="P48" s="420"/>
      <c r="Q48" s="430"/>
      <c r="R48" s="6"/>
      <c r="T48" s="187"/>
      <c r="U48" s="209"/>
      <c r="X48" s="169"/>
      <c r="Y48" s="169"/>
      <c r="Z48" s="210"/>
      <c r="AA48" s="274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168"/>
      <c r="AV48" s="168"/>
      <c r="AW48" s="168"/>
      <c r="AX48" s="168"/>
      <c r="AY48" s="168"/>
      <c r="AZ48" s="274"/>
      <c r="BA48" s="274"/>
      <c r="BB48" s="274"/>
      <c r="BC48" s="10"/>
      <c r="BD48" s="274"/>
      <c r="BE48" s="274"/>
      <c r="BF48" s="274"/>
      <c r="BG48" s="274"/>
      <c r="BH48" s="274"/>
      <c r="BI48" s="274"/>
      <c r="BJ48" s="274"/>
      <c r="BM48" s="170"/>
      <c r="BN48" s="170"/>
      <c r="BO48" s="170"/>
      <c r="BP48" s="170"/>
      <c r="BQ48" s="170"/>
      <c r="BR48" s="170"/>
      <c r="BS48" s="170"/>
      <c r="BT48" s="170"/>
      <c r="BU48" s="170"/>
    </row>
    <row r="49" spans="1:137" s="4" customFormat="1" hidden="1" x14ac:dyDescent="0.25">
      <c r="F49" s="25"/>
      <c r="G49" s="437"/>
      <c r="H49" s="438"/>
      <c r="J49" s="437"/>
      <c r="K49" s="494"/>
      <c r="L49" s="499"/>
      <c r="M49" s="420"/>
      <c r="N49" s="428"/>
      <c r="O49" s="428"/>
      <c r="P49" s="420"/>
      <c r="Q49" s="430"/>
      <c r="R49" s="6"/>
      <c r="T49" s="187"/>
      <c r="U49" s="209"/>
      <c r="X49" s="169"/>
      <c r="Y49" s="169"/>
      <c r="Z49" s="210"/>
      <c r="AA49" s="274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  <c r="AV49" s="168"/>
      <c r="AW49" s="168"/>
      <c r="AX49" s="168"/>
      <c r="AY49" s="168"/>
      <c r="AZ49" s="274"/>
      <c r="BA49" s="274"/>
      <c r="BB49" s="274"/>
      <c r="BC49" s="10"/>
      <c r="BD49" s="274"/>
      <c r="BE49" s="274"/>
      <c r="BF49" s="274"/>
      <c r="BG49" s="274"/>
      <c r="BH49" s="274"/>
      <c r="BI49" s="274"/>
      <c r="BJ49" s="274"/>
      <c r="BM49" s="170"/>
      <c r="BN49" s="170"/>
      <c r="BO49" s="170"/>
      <c r="BP49" s="170"/>
      <c r="BQ49" s="170"/>
      <c r="BR49" s="170"/>
      <c r="BS49" s="170"/>
      <c r="BT49" s="170"/>
      <c r="BU49" s="170"/>
      <c r="BV49" s="170"/>
      <c r="BW49" s="170"/>
    </row>
    <row r="50" spans="1:137" s="4" customFormat="1" ht="15" hidden="1" customHeight="1" thickBot="1" x14ac:dyDescent="0.3">
      <c r="F50" s="10"/>
      <c r="G50" s="437"/>
      <c r="H50" s="438"/>
      <c r="J50" s="437"/>
      <c r="K50" s="494"/>
      <c r="L50" s="499"/>
      <c r="M50" s="420"/>
      <c r="N50" s="428"/>
      <c r="O50" s="428"/>
      <c r="P50" s="420"/>
      <c r="Q50" s="430"/>
      <c r="R50" s="6"/>
      <c r="T50" s="187"/>
      <c r="U50" s="377" t="s">
        <v>292</v>
      </c>
      <c r="V50" s="379"/>
      <c r="W50" s="379"/>
      <c r="X50" s="379"/>
      <c r="Y50" s="379"/>
      <c r="Z50" s="378"/>
      <c r="AA50" s="274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  <c r="AV50" s="168"/>
      <c r="AW50" s="168"/>
      <c r="AX50" s="168"/>
      <c r="AY50" s="168"/>
      <c r="BA50" s="274"/>
      <c r="BB50" s="274"/>
      <c r="BC50" s="10"/>
      <c r="BD50" s="274"/>
      <c r="BE50" s="274"/>
      <c r="BF50" s="274"/>
      <c r="BG50" s="274"/>
      <c r="BH50" s="274"/>
      <c r="BI50" s="274"/>
      <c r="BJ50" s="274"/>
      <c r="BM50" s="170"/>
      <c r="BN50" s="170"/>
      <c r="BO50" s="170"/>
      <c r="BP50" s="170"/>
      <c r="BQ50" s="170"/>
      <c r="BR50" s="170"/>
      <c r="BS50" s="170"/>
      <c r="BT50" s="170"/>
      <c r="BU50" s="170"/>
      <c r="BV50" s="170"/>
      <c r="BW50" s="170"/>
    </row>
    <row r="51" spans="1:137" s="4" customFormat="1" ht="15" hidden="1" customHeight="1" x14ac:dyDescent="0.25">
      <c r="G51" s="437"/>
      <c r="H51" s="438"/>
      <c r="J51" s="437"/>
      <c r="K51" s="494"/>
      <c r="L51" s="499"/>
      <c r="M51" s="420"/>
      <c r="N51" s="428"/>
      <c r="O51" s="428"/>
      <c r="P51" s="420"/>
      <c r="Q51" s="430"/>
      <c r="R51" s="6"/>
      <c r="T51" s="187"/>
      <c r="U51" s="422" t="s">
        <v>295</v>
      </c>
      <c r="V51" s="344"/>
      <c r="W51" s="425" t="s">
        <v>296</v>
      </c>
      <c r="X51" s="425"/>
      <c r="Y51" s="344" t="s">
        <v>297</v>
      </c>
      <c r="Z51" s="522"/>
      <c r="AA51" s="274"/>
      <c r="AJ51" s="168"/>
      <c r="AK51" s="168"/>
      <c r="AL51" s="168"/>
      <c r="AM51" s="168"/>
      <c r="AN51" s="168"/>
      <c r="AO51" s="168"/>
      <c r="AP51" s="168"/>
      <c r="AQ51" s="168"/>
      <c r="AR51" s="168"/>
      <c r="AS51" s="168"/>
      <c r="AT51" s="168"/>
      <c r="AU51" s="168"/>
      <c r="AV51" s="168"/>
      <c r="AW51" s="168"/>
      <c r="AX51" s="168"/>
      <c r="AY51" s="168"/>
      <c r="AZ51" s="274"/>
      <c r="BA51" s="274"/>
      <c r="BB51" s="274"/>
      <c r="BC51" s="10"/>
      <c r="BD51" s="274"/>
      <c r="BE51" s="274"/>
      <c r="BF51" s="274"/>
      <c r="BG51" s="274"/>
      <c r="BH51" s="274"/>
      <c r="BI51" s="274"/>
      <c r="BJ51" s="274"/>
      <c r="BM51" s="170"/>
      <c r="BN51" s="170"/>
      <c r="BO51" s="170"/>
      <c r="BP51" s="170"/>
      <c r="BQ51" s="170"/>
      <c r="BR51" s="170"/>
      <c r="BS51" s="170"/>
      <c r="BT51" s="170"/>
      <c r="BU51" s="170"/>
      <c r="BV51" s="170"/>
      <c r="BW51" s="170"/>
    </row>
    <row r="52" spans="1:137" s="4" customFormat="1" hidden="1" x14ac:dyDescent="0.25">
      <c r="F52" s="10"/>
      <c r="G52" s="437"/>
      <c r="H52" s="438"/>
      <c r="J52" s="437"/>
      <c r="K52" s="494"/>
      <c r="L52" s="499"/>
      <c r="M52" s="420"/>
      <c r="N52" s="428"/>
      <c r="O52" s="428"/>
      <c r="P52" s="420"/>
      <c r="Q52" s="430"/>
      <c r="R52" s="6"/>
      <c r="T52" s="188"/>
      <c r="U52" s="423"/>
      <c r="V52" s="345"/>
      <c r="W52" s="426"/>
      <c r="X52" s="426"/>
      <c r="Y52" s="345"/>
      <c r="Z52" s="523"/>
      <c r="AA52" s="274"/>
      <c r="AJ52" s="168"/>
      <c r="AK52" s="168"/>
      <c r="AL52" s="168"/>
      <c r="AM52" s="168"/>
      <c r="AN52" s="168"/>
      <c r="AO52" s="168"/>
      <c r="AP52" s="168"/>
      <c r="AQ52" s="168"/>
      <c r="AR52" s="168"/>
      <c r="AS52" s="168"/>
      <c r="AT52" s="168"/>
      <c r="AU52" s="168"/>
      <c r="AV52" s="168"/>
      <c r="AW52" s="168"/>
      <c r="AY52" s="168"/>
      <c r="AZ52" s="274"/>
      <c r="BB52" s="274"/>
      <c r="BC52" s="10"/>
      <c r="BP52" s="170"/>
      <c r="BQ52" s="170"/>
      <c r="BR52" s="170"/>
      <c r="BS52" s="170"/>
      <c r="BT52" s="170"/>
      <c r="BU52" s="170"/>
      <c r="BV52" s="170"/>
      <c r="BW52" s="170"/>
    </row>
    <row r="53" spans="1:137" s="4" customFormat="1" ht="15" hidden="1" customHeight="1" x14ac:dyDescent="0.25">
      <c r="G53" s="437"/>
      <c r="H53" s="438"/>
      <c r="J53" s="437"/>
      <c r="K53" s="494"/>
      <c r="L53" s="499"/>
      <c r="M53" s="420"/>
      <c r="N53" s="428"/>
      <c r="O53" s="428"/>
      <c r="P53" s="420"/>
      <c r="Q53" s="430"/>
      <c r="R53" s="6"/>
      <c r="T53" s="189"/>
      <c r="U53" s="423"/>
      <c r="V53" s="345"/>
      <c r="W53" s="426"/>
      <c r="X53" s="426"/>
      <c r="Y53" s="345"/>
      <c r="Z53" s="523"/>
      <c r="AA53" s="274"/>
      <c r="AJ53" s="168"/>
      <c r="AK53" s="168"/>
      <c r="AL53" s="168"/>
      <c r="AM53" s="168"/>
      <c r="AN53" s="168"/>
      <c r="AO53" s="168"/>
      <c r="AP53" s="168"/>
      <c r="AQ53" s="168"/>
      <c r="AR53" s="168"/>
      <c r="AS53" s="168"/>
      <c r="AU53" s="168"/>
      <c r="AV53" s="168"/>
      <c r="AW53" s="168"/>
      <c r="AX53" s="168"/>
      <c r="AY53" s="168"/>
      <c r="AZ53" s="274"/>
      <c r="BA53" s="275"/>
      <c r="BB53" s="274"/>
      <c r="BC53" s="10"/>
      <c r="BM53" s="170"/>
      <c r="BN53" s="171"/>
      <c r="BO53" s="171"/>
      <c r="BP53" s="170"/>
      <c r="BQ53" s="170"/>
      <c r="BR53" s="170"/>
      <c r="BS53" s="170"/>
      <c r="BT53" s="170"/>
      <c r="BU53" s="170"/>
      <c r="BV53" s="170"/>
      <c r="BW53" s="170"/>
      <c r="CX53" s="148"/>
      <c r="CY53" s="148"/>
      <c r="CZ53" s="148"/>
      <c r="DA53" s="148"/>
      <c r="DB53" s="148"/>
      <c r="DC53" s="148"/>
      <c r="DD53" s="148"/>
      <c r="DE53" s="148"/>
      <c r="DF53" s="148"/>
      <c r="DG53" s="148"/>
      <c r="DH53" s="148"/>
      <c r="DI53" s="148"/>
      <c r="DJ53" s="148"/>
      <c r="DK53" s="148"/>
      <c r="DL53" s="148"/>
      <c r="DM53" s="148"/>
      <c r="DN53" s="148"/>
      <c r="DO53" s="148"/>
      <c r="DP53" s="148"/>
      <c r="DQ53" s="148"/>
      <c r="DR53" s="148"/>
      <c r="DS53" s="148"/>
      <c r="DT53" s="148"/>
      <c r="DU53" s="148"/>
      <c r="DV53" s="148"/>
      <c r="DW53" s="148"/>
      <c r="DX53" s="148"/>
      <c r="DY53" s="148"/>
      <c r="DZ53" s="148"/>
      <c r="EA53" s="148"/>
      <c r="EB53" s="148"/>
      <c r="EC53" s="148"/>
      <c r="ED53" s="148"/>
      <c r="EE53" s="148"/>
      <c r="EF53" s="148"/>
      <c r="EG53" s="148"/>
    </row>
    <row r="54" spans="1:137" s="4" customFormat="1" ht="15" hidden="1" customHeight="1" x14ac:dyDescent="0.25">
      <c r="A54" s="10"/>
      <c r="B54" s="10"/>
      <c r="G54" s="437"/>
      <c r="H54" s="438"/>
      <c r="J54" s="437"/>
      <c r="K54" s="494"/>
      <c r="L54" s="499"/>
      <c r="M54" s="420" t="s">
        <v>283</v>
      </c>
      <c r="N54" s="428" t="s">
        <v>284</v>
      </c>
      <c r="O54" s="428"/>
      <c r="P54" s="420"/>
      <c r="Q54" s="430"/>
      <c r="R54" s="331" t="s">
        <v>300</v>
      </c>
      <c r="S54" s="305"/>
      <c r="T54" s="332"/>
      <c r="U54" s="423"/>
      <c r="V54" s="345"/>
      <c r="W54" s="426"/>
      <c r="X54" s="426"/>
      <c r="Y54" s="345"/>
      <c r="Z54" s="523"/>
      <c r="AA54" s="274"/>
      <c r="AJ54" s="275"/>
      <c r="AK54" s="275"/>
      <c r="AS54" s="274"/>
      <c r="AT54" s="274"/>
      <c r="AU54" s="274"/>
      <c r="AV54" s="274"/>
      <c r="AW54" s="274"/>
      <c r="AX54" s="274"/>
      <c r="AY54" s="274"/>
      <c r="AZ54" s="274"/>
      <c r="BA54" s="275"/>
      <c r="BB54" s="274"/>
      <c r="BC54" s="10"/>
      <c r="BM54" s="170"/>
      <c r="BN54" s="171"/>
      <c r="BO54" s="171"/>
      <c r="BP54" s="170"/>
      <c r="BQ54" s="170"/>
      <c r="BR54" s="170"/>
      <c r="BS54" s="170"/>
      <c r="BT54" s="170"/>
      <c r="BU54" s="170"/>
      <c r="BV54" s="170"/>
      <c r="BW54" s="170"/>
      <c r="CX54" s="148"/>
      <c r="CY54" s="148"/>
      <c r="CZ54" s="148"/>
      <c r="DA54" s="148"/>
      <c r="DB54" s="148"/>
      <c r="DC54" s="148"/>
      <c r="DD54" s="148"/>
      <c r="DE54" s="148"/>
      <c r="DF54" s="148"/>
      <c r="DG54" s="148"/>
      <c r="DH54" s="148"/>
      <c r="DI54" s="148"/>
      <c r="DJ54" s="148"/>
      <c r="DK54" s="148"/>
      <c r="DL54" s="148"/>
      <c r="DM54" s="148"/>
      <c r="DN54" s="148"/>
      <c r="DO54" s="148"/>
      <c r="DP54" s="148"/>
      <c r="DQ54" s="148"/>
      <c r="DR54" s="148"/>
      <c r="DS54" s="148"/>
      <c r="DT54" s="148"/>
      <c r="DU54" s="148"/>
      <c r="DV54" s="148"/>
      <c r="DW54" s="148"/>
      <c r="DX54" s="148"/>
      <c r="DY54" s="148"/>
      <c r="DZ54" s="148"/>
      <c r="EA54" s="148"/>
      <c r="EB54" s="148"/>
      <c r="EC54" s="148"/>
      <c r="ED54" s="148"/>
      <c r="EE54" s="148"/>
      <c r="EF54" s="148"/>
      <c r="EG54" s="148"/>
    </row>
    <row r="55" spans="1:137" s="4" customFormat="1" ht="15" hidden="1" customHeight="1" x14ac:dyDescent="0.25">
      <c r="A55" s="308" t="s">
        <v>246</v>
      </c>
      <c r="B55" s="308"/>
      <c r="C55" s="308"/>
      <c r="D55" s="308"/>
      <c r="E55" s="308"/>
      <c r="F55" s="308"/>
      <c r="G55" s="437"/>
      <c r="H55" s="438"/>
      <c r="J55" s="437"/>
      <c r="K55" s="494"/>
      <c r="L55" s="499"/>
      <c r="M55" s="420"/>
      <c r="N55" s="428"/>
      <c r="O55" s="428"/>
      <c r="P55" s="420"/>
      <c r="Q55" s="430"/>
      <c r="R55" s="331" t="s">
        <v>269</v>
      </c>
      <c r="S55" s="305"/>
      <c r="T55" s="332"/>
      <c r="U55" s="423"/>
      <c r="V55" s="345"/>
      <c r="W55" s="426"/>
      <c r="X55" s="426"/>
      <c r="Y55" s="345"/>
      <c r="Z55" s="523"/>
      <c r="AA55" s="274"/>
      <c r="AS55" s="274"/>
      <c r="AT55" s="274"/>
      <c r="AU55" s="274"/>
      <c r="AV55" s="274"/>
      <c r="AW55" s="274"/>
      <c r="AY55" s="274"/>
      <c r="BA55" s="275"/>
      <c r="BB55" s="274"/>
      <c r="BC55" s="10"/>
      <c r="BM55" s="170"/>
      <c r="BN55" s="171"/>
      <c r="BO55" s="171"/>
      <c r="BP55" s="170"/>
      <c r="BQ55" s="170"/>
      <c r="BR55" s="170"/>
      <c r="BS55" s="170"/>
      <c r="BT55" s="170"/>
      <c r="BU55" s="170"/>
      <c r="BV55" s="170"/>
      <c r="BW55" s="170"/>
      <c r="CX55" s="148"/>
      <c r="CY55" s="148"/>
      <c r="CZ55" s="148"/>
      <c r="DA55" s="148"/>
      <c r="DB55" s="148"/>
      <c r="DC55" s="148"/>
      <c r="DD55" s="148"/>
      <c r="DE55" s="148"/>
      <c r="DF55" s="148"/>
      <c r="DG55" s="148"/>
      <c r="DH55" s="148"/>
      <c r="DI55" s="148"/>
      <c r="DJ55" s="148"/>
      <c r="DK55" s="148"/>
      <c r="DL55" s="148"/>
      <c r="DM55" s="148"/>
      <c r="DN55" s="148"/>
      <c r="DO55" s="148"/>
      <c r="DP55" s="148"/>
      <c r="DQ55" s="148"/>
      <c r="DR55" s="148"/>
      <c r="DS55" s="148"/>
      <c r="DT55" s="148"/>
      <c r="DU55" s="148"/>
      <c r="DV55" s="148"/>
      <c r="DW55" s="148"/>
      <c r="DX55" s="148"/>
      <c r="DY55" s="148"/>
      <c r="DZ55" s="148"/>
      <c r="EA55" s="148"/>
      <c r="EB55" s="148"/>
      <c r="EC55" s="148"/>
      <c r="ED55" s="148"/>
      <c r="EE55" s="148"/>
      <c r="EF55" s="148"/>
      <c r="EG55" s="148"/>
    </row>
    <row r="56" spans="1:137" s="4" customFormat="1" ht="15.75" hidden="1" customHeight="1" thickBot="1" x14ac:dyDescent="0.3">
      <c r="A56" s="441"/>
      <c r="B56" s="441"/>
      <c r="C56" s="441"/>
      <c r="D56" s="441"/>
      <c r="E56" s="441"/>
      <c r="F56" s="441"/>
      <c r="G56" s="439"/>
      <c r="H56" s="440"/>
      <c r="J56" s="439"/>
      <c r="K56" s="495"/>
      <c r="L56" s="500"/>
      <c r="M56" s="421"/>
      <c r="N56" s="429"/>
      <c r="O56" s="429"/>
      <c r="P56" s="421"/>
      <c r="Q56" s="431"/>
      <c r="R56" s="220" t="s">
        <v>39</v>
      </c>
      <c r="S56" s="41" t="s">
        <v>40</v>
      </c>
      <c r="T56" s="185" t="s">
        <v>41</v>
      </c>
      <c r="U56" s="424"/>
      <c r="V56" s="346"/>
      <c r="W56" s="427"/>
      <c r="X56" s="427"/>
      <c r="Y56" s="346"/>
      <c r="Z56" s="524"/>
      <c r="AA56" s="274"/>
      <c r="AJ56" s="172"/>
      <c r="AS56" s="274"/>
      <c r="AT56" s="274"/>
      <c r="AU56" s="274"/>
      <c r="AV56" s="274"/>
      <c r="AW56" s="274"/>
      <c r="AX56" s="274"/>
      <c r="AY56" s="274"/>
      <c r="AZ56" s="274"/>
      <c r="BA56" s="172"/>
      <c r="BB56" s="172"/>
      <c r="BC56" s="10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CX56" s="148"/>
      <c r="CY56" s="148"/>
      <c r="CZ56" s="148"/>
      <c r="DA56" s="148"/>
      <c r="DB56" s="148"/>
      <c r="DC56" s="148"/>
      <c r="DD56" s="148"/>
      <c r="DE56" s="148"/>
      <c r="DF56" s="148"/>
      <c r="DG56" s="148"/>
      <c r="DH56" s="148"/>
      <c r="DI56" s="148"/>
      <c r="DJ56" s="148"/>
      <c r="DK56" s="148"/>
      <c r="DL56" s="148"/>
      <c r="DM56" s="148"/>
      <c r="DN56" s="148"/>
      <c r="DO56" s="148"/>
      <c r="DP56" s="148"/>
      <c r="DQ56" s="148"/>
      <c r="DR56" s="148"/>
      <c r="DS56" s="148"/>
      <c r="DT56" s="148"/>
      <c r="DU56" s="148"/>
      <c r="DV56" s="148"/>
      <c r="DW56" s="148"/>
      <c r="DX56" s="148"/>
      <c r="DY56" s="148"/>
      <c r="DZ56" s="148"/>
      <c r="EA56" s="148"/>
      <c r="EB56" s="148"/>
      <c r="EC56" s="148"/>
      <c r="ED56" s="148"/>
      <c r="EE56" s="148"/>
      <c r="EF56" s="148"/>
      <c r="EG56" s="148"/>
    </row>
    <row r="57" spans="1:137" s="4" customFormat="1" ht="16.5" hidden="1" customHeight="1" thickTop="1" thickBot="1" x14ac:dyDescent="0.3">
      <c r="A57" s="487" t="s">
        <v>47</v>
      </c>
      <c r="B57" s="487"/>
      <c r="C57" s="487"/>
      <c r="D57" s="487"/>
      <c r="E57" s="487"/>
      <c r="F57" s="487"/>
      <c r="G57" s="488">
        <f ca="1">SUM(H59:H80)</f>
        <v>1</v>
      </c>
      <c r="H57" s="489"/>
      <c r="I57" s="43"/>
      <c r="J57" s="35" cm="1">
        <f t="array" aca="1" ref="J57:Z57" ca="1">OFFSET(J58:Z58,G57,0,1,17)</f>
        <v>1</v>
      </c>
      <c r="K57" s="36">
        <f ca="1"/>
        <v>0</v>
      </c>
      <c r="L57" s="207">
        <f ca="1"/>
        <v>1</v>
      </c>
      <c r="M57" s="195">
        <f ca="1"/>
        <v>1</v>
      </c>
      <c r="N57" s="211">
        <f ca="1"/>
        <v>0</v>
      </c>
      <c r="O57" s="211">
        <f ca="1"/>
        <v>1</v>
      </c>
      <c r="P57" s="250">
        <f ca="1"/>
        <v>1</v>
      </c>
      <c r="Q57" s="24">
        <f ca="1"/>
        <v>1</v>
      </c>
      <c r="R57" s="199">
        <f ca="1"/>
        <v>1</v>
      </c>
      <c r="S57" s="199">
        <f ca="1"/>
        <v>1</v>
      </c>
      <c r="T57" s="200">
        <f ca="1"/>
        <v>0</v>
      </c>
      <c r="U57" s="212">
        <f ca="1"/>
        <v>8.5</v>
      </c>
      <c r="V57" s="214">
        <f ca="1"/>
        <v>0</v>
      </c>
      <c r="W57" s="215">
        <f ca="1"/>
        <v>6.5</v>
      </c>
      <c r="X57" s="216">
        <f ca="1"/>
        <v>0</v>
      </c>
      <c r="Y57" s="214">
        <f ca="1"/>
        <v>1</v>
      </c>
      <c r="Z57" s="213">
        <f ca="1"/>
        <v>0</v>
      </c>
      <c r="AA57" s="148"/>
      <c r="AJ57" s="249"/>
      <c r="AS57"/>
      <c r="AT57"/>
      <c r="AU57"/>
      <c r="AV57"/>
      <c r="AW57"/>
      <c r="AX57"/>
      <c r="AY57"/>
      <c r="AZ57"/>
      <c r="BC57" s="24"/>
      <c r="BP57" s="148"/>
      <c r="BR57" s="148"/>
      <c r="BT57" s="148"/>
      <c r="BV57" s="148"/>
      <c r="CX57" s="148"/>
      <c r="CY57" s="148"/>
      <c r="CZ57" s="148"/>
      <c r="DA57" s="148"/>
      <c r="DB57" s="148"/>
      <c r="DC57" s="148"/>
      <c r="DD57" s="148"/>
      <c r="DE57" s="148"/>
      <c r="DF57" s="148"/>
      <c r="DG57" s="148"/>
      <c r="DH57" s="148"/>
      <c r="DI57" s="148"/>
      <c r="DJ57" s="148"/>
      <c r="DK57" s="148"/>
      <c r="DL57" s="148"/>
      <c r="DM57" s="148"/>
      <c r="DN57" s="148"/>
      <c r="DO57" s="148"/>
      <c r="DP57" s="148"/>
      <c r="DQ57" s="148"/>
      <c r="DR57" s="148"/>
      <c r="DS57" s="148"/>
      <c r="DT57" s="148"/>
      <c r="DU57" s="148"/>
      <c r="DV57" s="148"/>
      <c r="DW57" s="148"/>
      <c r="DX57" s="148"/>
      <c r="DY57" s="148"/>
      <c r="DZ57" s="148"/>
      <c r="EA57" s="148"/>
      <c r="EB57" s="148"/>
      <c r="EC57" s="148"/>
      <c r="ED57" s="148"/>
      <c r="EE57" s="148"/>
      <c r="EF57" s="148"/>
      <c r="EG57" s="148"/>
    </row>
    <row r="58" spans="1:137" s="4" customFormat="1" ht="4.5" hidden="1" customHeight="1" thickTop="1" thickBot="1" x14ac:dyDescent="0.3">
      <c r="A58" s="490"/>
      <c r="B58" s="490"/>
      <c r="C58" s="490"/>
      <c r="D58" s="490"/>
      <c r="E58" s="490"/>
      <c r="F58" s="490"/>
      <c r="G58" s="208"/>
      <c r="H58" s="44"/>
      <c r="I58" s="31"/>
      <c r="J58" s="31"/>
      <c r="K58" s="34"/>
      <c r="L58" s="34"/>
      <c r="M58" s="34"/>
      <c r="N58" s="34"/>
      <c r="O58" s="34"/>
      <c r="P58" s="34"/>
      <c r="Q58" s="34"/>
      <c r="R58" s="180"/>
      <c r="S58" s="180"/>
      <c r="T58" s="180"/>
      <c r="U58" s="179"/>
      <c r="V58" s="179"/>
      <c r="W58" s="179"/>
      <c r="X58" s="179"/>
      <c r="Y58" s="179"/>
      <c r="Z58" s="179"/>
      <c r="AA58" s="172"/>
      <c r="BC58"/>
      <c r="BP58" s="173"/>
      <c r="BR58" s="173"/>
      <c r="BT58" s="173"/>
      <c r="BV58" s="173"/>
      <c r="CX58" s="148"/>
      <c r="CY58" s="148"/>
      <c r="CZ58" s="148"/>
      <c r="DA58" s="148"/>
      <c r="DB58" s="148"/>
      <c r="DC58" s="148"/>
      <c r="DD58" s="148"/>
      <c r="DE58" s="148"/>
      <c r="DF58" s="148"/>
      <c r="DG58" s="148"/>
      <c r="DH58" s="148"/>
      <c r="DI58" s="148"/>
      <c r="DJ58" s="148"/>
      <c r="DK58" s="148"/>
      <c r="DL58" s="148"/>
      <c r="DM58" s="148"/>
      <c r="DN58" s="148"/>
      <c r="DO58" s="148"/>
      <c r="DP58" s="148"/>
      <c r="DQ58" s="148"/>
      <c r="DR58" s="148"/>
      <c r="DS58" s="148"/>
      <c r="DT58" s="148"/>
      <c r="DU58" s="148"/>
      <c r="DV58" s="148"/>
      <c r="DW58" s="148"/>
      <c r="DX58" s="148"/>
      <c r="DY58" s="148"/>
      <c r="DZ58" s="148"/>
      <c r="EA58" s="148"/>
      <c r="EB58" s="148"/>
      <c r="EC58" s="148"/>
      <c r="ED58" s="148"/>
      <c r="EE58" s="148"/>
      <c r="EF58" s="148"/>
      <c r="EG58" s="148"/>
    </row>
    <row r="59" spans="1:137" s="4" customFormat="1" ht="15.75" hidden="1" customHeight="1" thickTop="1" x14ac:dyDescent="0.25">
      <c r="A59" s="315" t="str">
        <f t="shared" ref="A59:A80" ca="1" si="0">EW124</f>
        <v>FMS (Shuttle)</v>
      </c>
      <c r="B59" s="315"/>
      <c r="C59" s="315"/>
      <c r="D59" s="315"/>
      <c r="E59" s="315"/>
      <c r="F59" s="315"/>
      <c r="G59" s="12">
        <v>1</v>
      </c>
      <c r="H59" s="42">
        <f ca="1">IF(A59=$CL$78,G59,0)</f>
        <v>1</v>
      </c>
      <c r="I59" s="42"/>
      <c r="J59" s="12">
        <v>1</v>
      </c>
      <c r="K59" s="205">
        <f>IF(J59=2,1,0)</f>
        <v>0</v>
      </c>
      <c r="L59" s="198">
        <v>1</v>
      </c>
      <c r="M59" s="359">
        <v>1</v>
      </c>
      <c r="N59" s="332"/>
      <c r="O59" s="38">
        <f ca="1">IF(CL83=AW109,1,2)</f>
        <v>1</v>
      </c>
      <c r="P59" s="6">
        <v>1</v>
      </c>
      <c r="Q59" s="4">
        <v>1</v>
      </c>
      <c r="R59" s="6">
        <v>1</v>
      </c>
      <c r="S59" s="4">
        <v>1</v>
      </c>
      <c r="T59" s="7"/>
      <c r="U59" s="319">
        <v>8.5</v>
      </c>
      <c r="V59" s="315"/>
      <c r="W59" s="315">
        <v>6.5</v>
      </c>
      <c r="X59" s="315"/>
      <c r="Y59" s="315">
        <v>1</v>
      </c>
      <c r="Z59" s="353"/>
      <c r="AA59"/>
      <c r="AJ59"/>
      <c r="AS59"/>
      <c r="AT59"/>
      <c r="AU59"/>
      <c r="AV59"/>
      <c r="AW59"/>
      <c r="AX59"/>
      <c r="AY59"/>
      <c r="AZ59"/>
      <c r="BD59"/>
      <c r="BE59"/>
      <c r="BF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Y59"/>
      <c r="BZ59"/>
      <c r="CA59"/>
      <c r="CB59"/>
      <c r="CC59"/>
      <c r="CD59"/>
      <c r="CX59" s="148"/>
      <c r="CY59" s="148"/>
      <c r="CZ59" s="148"/>
      <c r="DA59" s="148"/>
      <c r="DB59" s="148"/>
      <c r="DC59" s="148"/>
      <c r="DD59" s="148"/>
      <c r="DE59" s="148"/>
      <c r="DF59" s="148"/>
      <c r="DG59" s="148"/>
      <c r="DH59" s="148"/>
      <c r="DI59" s="148"/>
      <c r="DJ59" s="148"/>
      <c r="DK59" s="148"/>
      <c r="DL59" s="148"/>
      <c r="DM59" s="148"/>
      <c r="DN59" s="148"/>
      <c r="DO59" s="148"/>
      <c r="DP59" s="148"/>
      <c r="DQ59" s="148"/>
      <c r="DR59" s="148"/>
      <c r="DS59" s="148"/>
      <c r="DT59" s="148"/>
      <c r="DU59" s="148"/>
      <c r="DV59" s="148"/>
      <c r="DW59" s="148"/>
      <c r="DX59" s="148"/>
      <c r="DY59" s="148"/>
      <c r="DZ59" s="148"/>
      <c r="EA59" s="148"/>
      <c r="EB59" s="148"/>
      <c r="EC59" s="148"/>
      <c r="ED59" s="148"/>
      <c r="EE59" s="148"/>
      <c r="EF59" s="148"/>
      <c r="EG59" s="148"/>
    </row>
    <row r="60" spans="1:137" s="4" customFormat="1" ht="15" hidden="1" customHeight="1" x14ac:dyDescent="0.25">
      <c r="A60" s="315" t="str">
        <f t="shared" ca="1" si="0"/>
        <v>FMS Plus</v>
      </c>
      <c r="B60" s="315"/>
      <c r="C60" s="315"/>
      <c r="D60" s="315"/>
      <c r="E60" s="315"/>
      <c r="F60" s="316"/>
      <c r="G60" s="12">
        <f>G59+1</f>
        <v>2</v>
      </c>
      <c r="H60" s="42">
        <f ca="1">IF(A60=$CL$78,G60,0)</f>
        <v>0</v>
      </c>
      <c r="I60" s="42"/>
      <c r="J60" s="12">
        <v>1</v>
      </c>
      <c r="K60" s="206">
        <f>IF(J60=2,1,0)</f>
        <v>0</v>
      </c>
      <c r="L60" s="198"/>
      <c r="M60" s="331">
        <v>1</v>
      </c>
      <c r="N60" s="332"/>
      <c r="O60" s="7">
        <v>5</v>
      </c>
      <c r="P60" s="6"/>
      <c r="Q60" s="4">
        <v>2</v>
      </c>
      <c r="R60" s="6">
        <v>1</v>
      </c>
      <c r="S60" s="4">
        <v>1</v>
      </c>
      <c r="T60" s="7"/>
      <c r="U60" s="319">
        <v>6.8</v>
      </c>
      <c r="V60" s="315"/>
      <c r="W60" s="315">
        <v>5.3</v>
      </c>
      <c r="X60" s="315"/>
      <c r="Y60" s="315">
        <v>1</v>
      </c>
      <c r="Z60" s="353"/>
      <c r="AA60"/>
      <c r="AJ60"/>
      <c r="AS60"/>
      <c r="AT60"/>
      <c r="AU60"/>
      <c r="AV60"/>
      <c r="AW60"/>
      <c r="AX60"/>
      <c r="AY60"/>
      <c r="AZ60"/>
      <c r="BD60"/>
      <c r="BE60"/>
      <c r="BF60"/>
      <c r="BG60"/>
      <c r="BH60"/>
      <c r="BI60"/>
      <c r="BJ60"/>
      <c r="BK60"/>
      <c r="BL60" s="148"/>
      <c r="BM60" s="148"/>
      <c r="BN60" s="148"/>
      <c r="BO60" s="148"/>
      <c r="BP60"/>
      <c r="BQ60"/>
      <c r="BR60"/>
      <c r="BS60"/>
      <c r="BT60"/>
      <c r="BY60"/>
      <c r="BZ60"/>
      <c r="CA60"/>
      <c r="CB60"/>
      <c r="CC60"/>
      <c r="CD60"/>
      <c r="CX60" s="148"/>
      <c r="CY60" s="148"/>
      <c r="CZ60" s="148"/>
      <c r="DA60" s="148"/>
      <c r="DB60" s="148"/>
      <c r="DC60" s="148"/>
      <c r="DD60" s="148"/>
      <c r="DE60" s="148"/>
      <c r="DF60" s="148"/>
      <c r="DG60" s="148"/>
      <c r="DH60" s="148"/>
      <c r="DI60" s="148"/>
      <c r="DJ60" s="148"/>
      <c r="DK60" s="148"/>
      <c r="DL60" s="148"/>
      <c r="DM60" s="148"/>
      <c r="DN60" s="148"/>
      <c r="DO60" s="148"/>
      <c r="DP60" s="148"/>
      <c r="DQ60" s="148"/>
      <c r="DR60" s="148"/>
      <c r="DS60" s="148"/>
      <c r="DT60" s="148"/>
      <c r="DU60" s="148"/>
      <c r="DV60" s="148"/>
      <c r="DW60" s="148"/>
      <c r="DX60" s="148"/>
      <c r="DY60" s="148"/>
      <c r="DZ60" s="148"/>
      <c r="EA60" s="148"/>
      <c r="EB60" s="148"/>
      <c r="EC60" s="148"/>
      <c r="ED60" s="148"/>
      <c r="EE60" s="148"/>
      <c r="EF60" s="148"/>
      <c r="EG60" s="148"/>
    </row>
    <row r="61" spans="1:137" s="4" customFormat="1" ht="15" hidden="1" customHeight="1" x14ac:dyDescent="0.25">
      <c r="A61" s="315" t="str">
        <f t="shared" ca="1" si="0"/>
        <v>FMS Plus Recess</v>
      </c>
      <c r="B61" s="315"/>
      <c r="C61" s="315"/>
      <c r="D61" s="315"/>
      <c r="E61" s="315"/>
      <c r="F61" s="316"/>
      <c r="G61" s="12">
        <f t="shared" ref="G61:G77" si="1">G60+1</f>
        <v>3</v>
      </c>
      <c r="H61" s="42">
        <f t="shared" ref="H61:H80" ca="1" si="2">IF(A61=$CL$78,G61,0)</f>
        <v>0</v>
      </c>
      <c r="I61" s="42"/>
      <c r="J61" s="12">
        <v>1</v>
      </c>
      <c r="K61" s="206">
        <f t="shared" ref="K61:K80" si="3">IF(J61=2,1,0)</f>
        <v>0</v>
      </c>
      <c r="L61" s="198"/>
      <c r="M61" s="331">
        <v>1</v>
      </c>
      <c r="N61" s="332"/>
      <c r="O61" s="7">
        <v>5</v>
      </c>
      <c r="P61" s="6"/>
      <c r="Q61" s="4">
        <v>2</v>
      </c>
      <c r="R61" s="6">
        <v>1</v>
      </c>
      <c r="S61" s="4">
        <v>1</v>
      </c>
      <c r="T61" s="7"/>
      <c r="U61" s="319">
        <v>7.75</v>
      </c>
      <c r="V61" s="315"/>
      <c r="W61" s="315">
        <v>6.25</v>
      </c>
      <c r="X61" s="315"/>
      <c r="Y61" s="315">
        <v>1</v>
      </c>
      <c r="Z61" s="353"/>
      <c r="AA61"/>
      <c r="AJ61"/>
      <c r="AS61"/>
      <c r="AT61"/>
      <c r="AU61"/>
      <c r="AV61"/>
      <c r="AW61"/>
      <c r="AX61"/>
      <c r="AY61"/>
      <c r="AZ61"/>
      <c r="BD61"/>
      <c r="BE61"/>
      <c r="BF61"/>
      <c r="BG61"/>
      <c r="BH61"/>
      <c r="BI61"/>
      <c r="BJ61"/>
      <c r="BN61" s="148"/>
      <c r="BO61" s="148"/>
      <c r="BP61"/>
      <c r="BQ61"/>
      <c r="BR61"/>
      <c r="BS61"/>
      <c r="BT61"/>
      <c r="BY61"/>
      <c r="BZ61"/>
      <c r="CA61"/>
      <c r="CB61"/>
      <c r="CC61"/>
      <c r="CD61"/>
      <c r="CX61" s="148"/>
      <c r="CY61" s="148"/>
      <c r="CZ61" s="148"/>
      <c r="DA61" s="148"/>
      <c r="DB61" s="148"/>
      <c r="DC61" s="148"/>
      <c r="DD61" s="148"/>
      <c r="DE61" s="148"/>
      <c r="DF61" s="148"/>
      <c r="DG61" s="148"/>
      <c r="DH61" s="148"/>
      <c r="DI61" s="148"/>
      <c r="DJ61" s="148"/>
      <c r="DK61" s="148"/>
      <c r="DL61" s="148"/>
      <c r="DM61" s="148"/>
      <c r="DN61" s="148"/>
      <c r="DO61" s="148"/>
      <c r="DP61" s="148"/>
      <c r="DQ61" s="148"/>
      <c r="DR61" s="148"/>
      <c r="DS61" s="148"/>
      <c r="DT61" s="148"/>
      <c r="DU61" s="148"/>
      <c r="DV61" s="148"/>
      <c r="DW61" s="148"/>
      <c r="DX61" s="148"/>
      <c r="DY61" s="148"/>
      <c r="DZ61" s="148"/>
      <c r="EA61" s="148"/>
      <c r="EB61" s="148"/>
      <c r="EC61" s="148"/>
      <c r="ED61" s="148"/>
      <c r="EE61" s="148"/>
      <c r="EF61" s="148"/>
      <c r="EG61" s="148"/>
    </row>
    <row r="62" spans="1:137" s="4" customFormat="1" ht="15" hidden="1" customHeight="1" thickBot="1" x14ac:dyDescent="0.3">
      <c r="A62" s="315" t="str">
        <f t="shared" ca="1" si="0"/>
        <v>MRS</v>
      </c>
      <c r="B62" s="315"/>
      <c r="C62" s="315"/>
      <c r="D62" s="315"/>
      <c r="E62" s="315"/>
      <c r="F62" s="316"/>
      <c r="G62" s="12">
        <f t="shared" si="1"/>
        <v>4</v>
      </c>
      <c r="H62" s="42">
        <f t="shared" ca="1" si="2"/>
        <v>0</v>
      </c>
      <c r="I62" s="42"/>
      <c r="J62" s="12">
        <v>1</v>
      </c>
      <c r="K62" s="206">
        <f t="shared" si="3"/>
        <v>0</v>
      </c>
      <c r="L62" s="198"/>
      <c r="M62" s="331">
        <v>1</v>
      </c>
      <c r="N62" s="332"/>
      <c r="O62" s="7"/>
      <c r="P62" s="6">
        <v>1</v>
      </c>
      <c r="Q62" s="4">
        <v>1</v>
      </c>
      <c r="R62" s="6">
        <v>1</v>
      </c>
      <c r="S62" s="4">
        <v>1</v>
      </c>
      <c r="T62" s="7"/>
      <c r="U62" s="319">
        <v>12</v>
      </c>
      <c r="V62" s="315"/>
      <c r="W62" s="315">
        <v>12</v>
      </c>
      <c r="X62" s="315"/>
      <c r="Y62" s="315">
        <v>2</v>
      </c>
      <c r="Z62" s="353"/>
      <c r="AA62"/>
      <c r="AJ62"/>
      <c r="AS62"/>
      <c r="AT62"/>
      <c r="AU62"/>
      <c r="AV62"/>
      <c r="AW62"/>
      <c r="AX62"/>
      <c r="AY62"/>
      <c r="AZ62"/>
      <c r="BD62"/>
      <c r="BE62"/>
      <c r="BF62"/>
      <c r="BG62"/>
      <c r="BH62"/>
      <c r="BI62"/>
      <c r="BY62"/>
      <c r="BZ62"/>
      <c r="CA62"/>
      <c r="CB62"/>
      <c r="CC62"/>
      <c r="CD62"/>
      <c r="CX62" s="148"/>
      <c r="CY62" s="148"/>
      <c r="CZ62" s="148"/>
      <c r="DA62" s="148"/>
      <c r="DB62" s="148"/>
      <c r="DC62" s="148"/>
      <c r="DD62" s="148"/>
      <c r="DE62" s="148"/>
      <c r="DF62" s="148"/>
      <c r="DG62" s="148"/>
      <c r="DH62" s="148"/>
      <c r="DI62" s="148"/>
      <c r="DJ62" s="148"/>
      <c r="DK62" s="148"/>
      <c r="DL62" s="148"/>
      <c r="DM62" s="148"/>
      <c r="DN62" s="148"/>
      <c r="DO62" s="148"/>
      <c r="DP62" s="148"/>
      <c r="DQ62" s="148"/>
      <c r="DR62" s="148"/>
      <c r="DS62" s="148"/>
      <c r="DT62" s="148"/>
      <c r="DU62" s="148"/>
      <c r="DV62" s="148"/>
      <c r="DW62" s="148"/>
      <c r="DX62" s="148"/>
      <c r="DY62" s="148"/>
      <c r="DZ62" s="148"/>
      <c r="EA62" s="148"/>
      <c r="EB62" s="148"/>
      <c r="EC62" s="148"/>
      <c r="ED62" s="148"/>
      <c r="EE62" s="148"/>
      <c r="EF62" s="148"/>
      <c r="EG62" s="148"/>
    </row>
    <row r="63" spans="1:137" s="4" customFormat="1" ht="15.75" hidden="1" customHeight="1" thickBot="1" x14ac:dyDescent="0.3">
      <c r="A63" s="315" t="str">
        <f t="shared" ca="1" si="0"/>
        <v>CCS</v>
      </c>
      <c r="B63" s="315"/>
      <c r="C63" s="315"/>
      <c r="D63" s="315"/>
      <c r="E63" s="315"/>
      <c r="F63" s="316"/>
      <c r="G63" s="12">
        <f t="shared" si="1"/>
        <v>5</v>
      </c>
      <c r="H63" s="42">
        <f t="shared" ca="1" si="2"/>
        <v>0</v>
      </c>
      <c r="I63" s="42"/>
      <c r="J63" s="12">
        <v>3</v>
      </c>
      <c r="K63" s="206">
        <f t="shared" si="3"/>
        <v>0</v>
      </c>
      <c r="L63" s="198"/>
      <c r="M63" s="331">
        <v>1</v>
      </c>
      <c r="N63" s="332"/>
      <c r="O63" s="38">
        <f ca="1">IF(CL82=AW106,3,4)</f>
        <v>4</v>
      </c>
      <c r="P63" s="6"/>
      <c r="Q63" s="4">
        <v>3</v>
      </c>
      <c r="R63" s="6">
        <v>1</v>
      </c>
      <c r="S63" s="4">
        <v>1</v>
      </c>
      <c r="T63" s="7"/>
      <c r="U63" s="319">
        <v>5.6</v>
      </c>
      <c r="V63" s="315"/>
      <c r="W63" s="315">
        <v>4</v>
      </c>
      <c r="X63" s="315"/>
      <c r="Y63" s="315">
        <v>1</v>
      </c>
      <c r="Z63" s="353"/>
      <c r="AA63"/>
      <c r="AI63" s="593" t="s">
        <v>216</v>
      </c>
      <c r="AJ63" s="594"/>
      <c r="AK63" s="594"/>
      <c r="AL63" s="595"/>
      <c r="AN63" s="204" t="s">
        <v>39</v>
      </c>
      <c r="AO63" s="578" t="s">
        <v>291</v>
      </c>
      <c r="AP63" s="578"/>
      <c r="AQ63" s="578"/>
      <c r="AR63" s="578"/>
      <c r="AS63" s="578"/>
      <c r="AT63" s="578"/>
      <c r="AU63" s="578"/>
      <c r="AV63" s="324"/>
      <c r="AW63" s="177"/>
      <c r="AY63" s="422" t="s">
        <v>266</v>
      </c>
      <c r="AZ63" s="522"/>
      <c r="BA63" s="344" t="s">
        <v>267</v>
      </c>
      <c r="BB63" s="522"/>
      <c r="BC63" s="344" t="s">
        <v>265</v>
      </c>
      <c r="BD63" s="522"/>
      <c r="BE63" s="344" t="s">
        <v>294</v>
      </c>
      <c r="BF63" s="522"/>
      <c r="BP63" s="371">
        <f ca="1">AH108</f>
        <v>100</v>
      </c>
      <c r="BQ63" s="537"/>
      <c r="BR63" s="371">
        <f ca="1">AH108</f>
        <v>100</v>
      </c>
      <c r="BS63" s="372"/>
      <c r="BT63" s="575" t="s">
        <v>84</v>
      </c>
      <c r="BU63" s="548"/>
      <c r="BV63" s="548"/>
      <c r="BW63" s="548"/>
      <c r="BX63" s="548"/>
      <c r="BY63" s="548"/>
      <c r="BZ63" s="548"/>
      <c r="CB63" s="379" t="s">
        <v>206</v>
      </c>
      <c r="CC63" s="379"/>
      <c r="CD63" s="379"/>
      <c r="CE63" s="379"/>
      <c r="CF63" s="379"/>
      <c r="CG63" s="379"/>
      <c r="CH63" s="379"/>
      <c r="CI63" s="379"/>
      <c r="CJ63" s="379"/>
      <c r="CX63" s="148"/>
      <c r="CY63" s="148"/>
      <c r="CZ63" s="148"/>
      <c r="DA63" s="148"/>
      <c r="DB63" s="148"/>
      <c r="DC63" s="148"/>
      <c r="DD63" s="148"/>
      <c r="DE63" s="148"/>
      <c r="DF63" s="148"/>
      <c r="DG63" s="148"/>
      <c r="DH63" s="148"/>
      <c r="DI63" s="148"/>
      <c r="DJ63" s="148"/>
      <c r="DK63" s="148"/>
      <c r="DL63" s="148"/>
      <c r="DM63" s="148"/>
      <c r="DN63" s="148"/>
      <c r="DO63" s="148"/>
      <c r="DP63" s="148"/>
      <c r="DQ63" s="148"/>
      <c r="DR63" s="148"/>
      <c r="DS63" s="148"/>
      <c r="DT63" s="148"/>
      <c r="DU63" s="148"/>
      <c r="DV63" s="148"/>
      <c r="DW63" s="148"/>
      <c r="DX63" s="148"/>
      <c r="DY63" s="148"/>
      <c r="DZ63" s="148"/>
      <c r="EA63" s="148"/>
      <c r="EB63" s="148"/>
      <c r="EC63" s="148"/>
      <c r="ED63" s="148"/>
      <c r="EE63" s="148"/>
      <c r="EF63" s="148"/>
      <c r="EG63" s="148"/>
    </row>
    <row r="64" spans="1:137" s="4" customFormat="1" ht="15.75" hidden="1" customHeight="1" thickTop="1" thickBot="1" x14ac:dyDescent="0.3">
      <c r="A64" s="315" t="str">
        <f t="shared" ca="1" si="0"/>
        <v>CRS Corded</v>
      </c>
      <c r="B64" s="315"/>
      <c r="C64" s="315"/>
      <c r="D64" s="315"/>
      <c r="E64" s="315"/>
      <c r="F64" s="316"/>
      <c r="G64" s="12">
        <f t="shared" si="1"/>
        <v>6</v>
      </c>
      <c r="H64" s="42">
        <f t="shared" ca="1" si="2"/>
        <v>0</v>
      </c>
      <c r="I64" s="42"/>
      <c r="J64" s="12">
        <v>3</v>
      </c>
      <c r="K64" s="206">
        <f t="shared" si="3"/>
        <v>0</v>
      </c>
      <c r="L64" s="198"/>
      <c r="M64" s="331">
        <v>1</v>
      </c>
      <c r="N64" s="332"/>
      <c r="O64" s="7"/>
      <c r="P64" s="6"/>
      <c r="Q64" s="4">
        <v>3</v>
      </c>
      <c r="R64" s="6">
        <v>1</v>
      </c>
      <c r="S64" s="4">
        <v>1</v>
      </c>
      <c r="T64" s="7"/>
      <c r="U64" s="319">
        <v>5.5</v>
      </c>
      <c r="V64" s="315"/>
      <c r="W64" s="315">
        <v>5.5</v>
      </c>
      <c r="X64" s="315"/>
      <c r="Y64" s="315">
        <v>1</v>
      </c>
      <c r="Z64" s="353"/>
      <c r="AA64"/>
      <c r="AI64" s="248"/>
      <c r="AJ64" s="241">
        <f ca="1">SUM(AJ65:AJ67)</f>
        <v>3</v>
      </c>
      <c r="AK64" s="591">
        <f ca="1">OFFSET(AK65,AJ64-1,0,1,1)</f>
        <v>7.9130000000000003</v>
      </c>
      <c r="AL64" s="592"/>
      <c r="AN64" s="198"/>
      <c r="AO64" s="202">
        <f ca="1">G57</f>
        <v>1</v>
      </c>
      <c r="AP64" s="337" t="s">
        <v>289</v>
      </c>
      <c r="AQ64" s="321"/>
      <c r="AR64" s="321"/>
      <c r="AS64" s="321"/>
      <c r="AT64" s="321"/>
      <c r="AU64" s="321"/>
      <c r="AV64" s="322"/>
      <c r="AW64" s="177"/>
      <c r="AY64" s="423"/>
      <c r="AZ64" s="523"/>
      <c r="BA64" s="345"/>
      <c r="BB64" s="523"/>
      <c r="BC64" s="345"/>
      <c r="BD64" s="523"/>
      <c r="BE64" s="345"/>
      <c r="BF64" s="523"/>
      <c r="BP64" s="538">
        <f ca="1">IF(CL82=AW106,BP63/2,BP63)</f>
        <v>100</v>
      </c>
      <c r="BQ64" s="539"/>
      <c r="BR64" s="538">
        <f ca="1">IF(CL82=AW106,BR63/2,BR63)</f>
        <v>100</v>
      </c>
      <c r="BS64" s="540"/>
      <c r="BT64" s="331" t="str">
        <f ca="1">IF(CL82=AW106,"/2","…")</f>
        <v>…</v>
      </c>
      <c r="BU64" s="305"/>
      <c r="BV64" s="548" t="str">
        <f ca="1">IF(CL82=AW106,EY107,EY108)</f>
        <v>Enkelpakket</v>
      </c>
      <c r="BW64" s="548"/>
      <c r="BX64" s="548"/>
      <c r="BY64" s="548"/>
      <c r="BZ64" s="548"/>
      <c r="CB64" s="531" t="s">
        <v>207</v>
      </c>
      <c r="CC64" s="531"/>
      <c r="CD64" s="531"/>
      <c r="CE64" s="532"/>
      <c r="CF64" s="307" t="str">
        <f t="shared" ref="CF64:CF72" ca="1" si="4">CL78</f>
        <v>FMS (Shuttle)</v>
      </c>
      <c r="CG64" s="305"/>
      <c r="CH64" s="305"/>
      <c r="CI64" s="305"/>
      <c r="CJ64" s="305"/>
      <c r="CK64" s="145" t="str">
        <f ca="1">"Rij "&amp;57+G57</f>
        <v>Rij 58</v>
      </c>
      <c r="CX64" s="148"/>
      <c r="CY64" s="148"/>
      <c r="CZ64" s="148"/>
      <c r="DA64" s="148"/>
      <c r="DB64" s="148"/>
      <c r="DC64" s="148"/>
      <c r="DD64" s="148"/>
      <c r="DE64" s="148"/>
      <c r="DF64" s="148"/>
      <c r="DG64" s="148"/>
      <c r="DH64" s="148"/>
      <c r="DI64" s="148"/>
      <c r="DJ64" s="148"/>
      <c r="DK64" s="148"/>
      <c r="DL64" s="148"/>
      <c r="DM64" s="148"/>
      <c r="DN64" s="148"/>
      <c r="DO64" s="148"/>
      <c r="DP64" s="148"/>
      <c r="DQ64" s="148"/>
      <c r="DR64" s="148"/>
      <c r="DS64" s="148"/>
      <c r="DT64" s="148"/>
      <c r="DU64" s="148"/>
      <c r="DV64" s="148"/>
      <c r="DW64" s="148"/>
      <c r="DX64" s="148"/>
      <c r="DY64" s="148"/>
      <c r="DZ64" s="148"/>
      <c r="EA64" s="148"/>
      <c r="EB64" s="148"/>
      <c r="EC64" s="148"/>
      <c r="ED64" s="148"/>
      <c r="EE64" s="148"/>
      <c r="EF64" s="148"/>
      <c r="EG64" s="148"/>
    </row>
    <row r="65" spans="1:157" s="4" customFormat="1" ht="15" hidden="1" customHeight="1" thickTop="1" thickBot="1" x14ac:dyDescent="0.3">
      <c r="A65" s="315" t="str">
        <f t="shared" ca="1" si="0"/>
        <v>CRS 20</v>
      </c>
      <c r="B65" s="315"/>
      <c r="C65" s="315"/>
      <c r="D65" s="315"/>
      <c r="E65" s="315"/>
      <c r="F65" s="316"/>
      <c r="G65" s="12">
        <f t="shared" si="1"/>
        <v>7</v>
      </c>
      <c r="H65" s="42">
        <f t="shared" ca="1" si="2"/>
        <v>0</v>
      </c>
      <c r="I65" s="42"/>
      <c r="J65" s="12">
        <v>2</v>
      </c>
      <c r="K65" s="206">
        <f>IF(J65=2,1,0)</f>
        <v>1</v>
      </c>
      <c r="L65" s="198"/>
      <c r="M65" s="331">
        <v>2</v>
      </c>
      <c r="N65" s="332"/>
      <c r="O65" s="7"/>
      <c r="P65" s="6"/>
      <c r="R65" s="6">
        <v>1</v>
      </c>
      <c r="S65" s="4">
        <v>1</v>
      </c>
      <c r="T65" s="7"/>
      <c r="U65" s="319">
        <v>2.5</v>
      </c>
      <c r="V65" s="315"/>
      <c r="W65" s="315">
        <v>0.2</v>
      </c>
      <c r="X65" s="315"/>
      <c r="Y65" s="315">
        <v>0</v>
      </c>
      <c r="Z65" s="353"/>
      <c r="AA65"/>
      <c r="AI65" s="243">
        <v>1</v>
      </c>
      <c r="AJ65" s="247">
        <f ca="1">IF(OR(AE112=CL81,AH112=CL81),AI65,0)</f>
        <v>0</v>
      </c>
      <c r="AK65" s="590">
        <v>5.4550000000000001</v>
      </c>
      <c r="AL65" s="579"/>
      <c r="AN65" s="201"/>
      <c r="AO65" s="203">
        <f ca="1">OFFSET(AO66,L57,0)</f>
        <v>1</v>
      </c>
      <c r="AP65" s="596" t="s">
        <v>290</v>
      </c>
      <c r="AQ65" s="597"/>
      <c r="AR65" s="597"/>
      <c r="AS65" s="597"/>
      <c r="AT65" s="597"/>
      <c r="AU65" s="597"/>
      <c r="AV65" s="598"/>
      <c r="AW65" s="177"/>
      <c r="AY65" s="423"/>
      <c r="AZ65" s="523"/>
      <c r="BA65" s="345"/>
      <c r="BB65" s="523"/>
      <c r="BC65" s="345"/>
      <c r="BD65" s="523"/>
      <c r="BE65" s="345"/>
      <c r="BF65" s="523"/>
      <c r="BN65"/>
      <c r="BP65" s="538">
        <f ca="1">IF(CL82=AW106,BP64-BV65,BP64)</f>
        <v>100</v>
      </c>
      <c r="BQ65" s="539"/>
      <c r="BR65" s="538">
        <f ca="1">IF(CL82=AW106,BR64+BV65,BR64)</f>
        <v>100</v>
      </c>
      <c r="BS65" s="540"/>
      <c r="BT65" s="337" t="s">
        <v>217</v>
      </c>
      <c r="BU65" s="321"/>
      <c r="BV65" s="529">
        <f ca="1">IF(J101&gt;0,0,(AH108/2)-E25)</f>
        <v>0</v>
      </c>
      <c r="BW65" s="530"/>
      <c r="BX65" s="147" t="s">
        <v>162</v>
      </c>
      <c r="CA65" s="177"/>
      <c r="CB65" s="531" t="s">
        <v>208</v>
      </c>
      <c r="CC65" s="531"/>
      <c r="CD65" s="531"/>
      <c r="CE65" s="532"/>
      <c r="CF65" s="307">
        <f t="shared" ca="1" si="4"/>
        <v>100</v>
      </c>
      <c r="CG65" s="305"/>
      <c r="CH65" s="305"/>
      <c r="CI65" s="305"/>
      <c r="CJ65" s="305"/>
      <c r="CM65" s="11"/>
      <c r="CN65" s="145"/>
      <c r="CX65" s="148"/>
      <c r="CY65" s="148"/>
      <c r="CZ65" s="148"/>
      <c r="DA65" s="148"/>
      <c r="DB65" s="148"/>
      <c r="DC65" s="148"/>
      <c r="DD65" s="148"/>
      <c r="DE65" s="148"/>
      <c r="DF65" s="148"/>
      <c r="DG65" s="148"/>
      <c r="DH65" s="148"/>
      <c r="DI65" s="148"/>
      <c r="DJ65" s="148"/>
      <c r="DK65" s="148"/>
      <c r="DL65" s="148"/>
      <c r="DM65" s="148"/>
      <c r="DN65" s="148"/>
      <c r="DO65" s="148"/>
      <c r="DP65" s="148"/>
      <c r="DQ65" s="148"/>
      <c r="DR65" s="148"/>
      <c r="DS65" s="148"/>
      <c r="DT65" s="148"/>
      <c r="DU65" s="148"/>
      <c r="DV65" s="148"/>
      <c r="DW65" s="148"/>
      <c r="DX65" s="148"/>
      <c r="DY65" s="148"/>
      <c r="DZ65" s="148"/>
      <c r="EA65" s="148"/>
      <c r="EB65" s="148"/>
      <c r="EC65" s="148"/>
      <c r="ED65" s="148"/>
      <c r="EE65" s="148"/>
      <c r="EF65" s="148"/>
      <c r="EG65" s="148"/>
      <c r="EW65" s="41" t="s">
        <v>119</v>
      </c>
      <c r="EX65" s="49">
        <v>1</v>
      </c>
      <c r="EY65" s="49">
        <v>2</v>
      </c>
      <c r="EZ65" s="49">
        <v>3</v>
      </c>
      <c r="FA65" s="49">
        <v>4</v>
      </c>
    </row>
    <row r="66" spans="1:157" s="4" customFormat="1" ht="15.75" hidden="1" customHeight="1" thickTop="1" thickBot="1" x14ac:dyDescent="0.3">
      <c r="A66" s="315" t="str">
        <f t="shared" ca="1" si="0"/>
        <v>CRS 28</v>
      </c>
      <c r="B66" s="315"/>
      <c r="C66" s="315"/>
      <c r="D66" s="315"/>
      <c r="E66" s="315"/>
      <c r="F66" s="316"/>
      <c r="G66" s="12">
        <f t="shared" si="1"/>
        <v>8</v>
      </c>
      <c r="H66" s="42">
        <f t="shared" ca="1" si="2"/>
        <v>0</v>
      </c>
      <c r="I66" s="42"/>
      <c r="J66" s="12">
        <v>2</v>
      </c>
      <c r="K66" s="206">
        <f t="shared" si="3"/>
        <v>1</v>
      </c>
      <c r="L66" s="198"/>
      <c r="M66" s="331">
        <v>2</v>
      </c>
      <c r="N66" s="332"/>
      <c r="O66" s="7"/>
      <c r="P66" s="6"/>
      <c r="R66" s="6">
        <v>1</v>
      </c>
      <c r="S66" s="4">
        <v>1</v>
      </c>
      <c r="T66" s="7">
        <v>1</v>
      </c>
      <c r="U66" s="319">
        <v>2.8</v>
      </c>
      <c r="V66" s="315"/>
      <c r="W66" s="315">
        <v>0.2</v>
      </c>
      <c r="X66" s="315"/>
      <c r="Y66" s="315">
        <v>0</v>
      </c>
      <c r="Z66" s="353"/>
      <c r="AA66"/>
      <c r="AI66" s="243">
        <f>AI65+1</f>
        <v>2</v>
      </c>
      <c r="AJ66" s="254">
        <f ca="1">IF(OR(AE113=CL81,AH113=CL81),AI66,0)</f>
        <v>0</v>
      </c>
      <c r="AK66" s="307">
        <v>5.9290000000000003</v>
      </c>
      <c r="AL66" s="332"/>
      <c r="AN66" s="30">
        <v>0</v>
      </c>
      <c r="AO66" s="30">
        <f ca="1">IF(CL82=AW105,1,3)</f>
        <v>1</v>
      </c>
      <c r="AP66" s="337" t="s">
        <v>147</v>
      </c>
      <c r="AQ66" s="321"/>
      <c r="AR66" s="321"/>
      <c r="AS66" s="321"/>
      <c r="AT66" s="321"/>
      <c r="AU66" s="321"/>
      <c r="AV66" s="322"/>
      <c r="AW66" s="177"/>
      <c r="AY66" s="423"/>
      <c r="AZ66" s="523"/>
      <c r="BA66" s="345"/>
      <c r="BB66" s="523"/>
      <c r="BC66" s="345"/>
      <c r="BD66" s="523"/>
      <c r="BE66" s="345"/>
      <c r="BF66" s="523"/>
      <c r="BP66" s="538">
        <f ca="1">IF(CL82=AW105,BP65-W57-AJ89,BP65-W57)</f>
        <v>87.8</v>
      </c>
      <c r="BQ66" s="539"/>
      <c r="BR66" s="538">
        <f ca="1">BR65-AL89</f>
        <v>96</v>
      </c>
      <c r="BS66" s="540"/>
      <c r="BT66" s="576" t="s">
        <v>230</v>
      </c>
      <c r="BU66" s="577"/>
      <c r="BV66" s="577"/>
      <c r="BW66" s="577"/>
      <c r="BX66" s="577"/>
      <c r="BY66" s="577"/>
      <c r="BZ66" s="577"/>
      <c r="CA66" s="177"/>
      <c r="CB66" s="531" t="s">
        <v>209</v>
      </c>
      <c r="CC66" s="531"/>
      <c r="CD66" s="531"/>
      <c r="CE66" s="532"/>
      <c r="CF66" s="307" t="str">
        <f t="shared" ca="1" si="4"/>
        <v>Easywave</v>
      </c>
      <c r="CG66" s="305"/>
      <c r="CH66" s="305"/>
      <c r="CI66" s="305"/>
      <c r="CJ66" s="305"/>
      <c r="CM66" s="11"/>
      <c r="CN66" s="145"/>
      <c r="CQ66" s="170"/>
      <c r="CR66" s="170"/>
      <c r="CX66" s="148"/>
      <c r="CY66" s="148"/>
      <c r="CZ66" s="148"/>
      <c r="DA66" s="148"/>
      <c r="DB66" s="148"/>
      <c r="DC66" s="148"/>
      <c r="DD66" s="286"/>
      <c r="DE66" s="286"/>
      <c r="DF66" s="286"/>
      <c r="DG66" s="148"/>
      <c r="DH66" s="148"/>
      <c r="DI66" s="148"/>
      <c r="DJ66" s="148"/>
      <c r="DK66" s="148"/>
      <c r="DL66" s="148"/>
      <c r="DM66" s="148"/>
      <c r="DN66" s="148"/>
      <c r="DO66" s="148"/>
      <c r="DP66" s="148"/>
      <c r="DQ66" s="148"/>
      <c r="DR66" s="148"/>
      <c r="DS66" s="286"/>
      <c r="DT66" s="286"/>
      <c r="DU66" s="286"/>
      <c r="DV66" s="285"/>
      <c r="DW66" s="148"/>
      <c r="DX66" s="148"/>
      <c r="DY66" s="148"/>
      <c r="DZ66" s="148"/>
      <c r="EA66" s="148"/>
      <c r="EB66" s="148"/>
      <c r="EC66" s="148"/>
      <c r="ED66" s="148"/>
      <c r="EE66" s="148"/>
      <c r="EF66" s="148"/>
      <c r="EG66" s="148"/>
      <c r="ES66" s="41" t="s">
        <v>191</v>
      </c>
      <c r="EW66" s="74">
        <f ca="1">IF(CL77=0,-4,SUM(EX66:FA66))</f>
        <v>1</v>
      </c>
      <c r="EX66" s="81">
        <f ca="1">IF(CL77=EX67,EX65,0)</f>
        <v>1</v>
      </c>
      <c r="EY66" s="82">
        <f ca="1">IF(CL77=EY67,EY65,0)</f>
        <v>0</v>
      </c>
      <c r="EZ66" s="82">
        <f ca="1">IF(CL77=EZ67,EZ65,0)</f>
        <v>0</v>
      </c>
      <c r="FA66" s="83">
        <f ca="1">IF(CL77=FA67,FA65,0)</f>
        <v>0</v>
      </c>
    </row>
    <row r="67" spans="1:157" s="4" customFormat="1" ht="15" hidden="1" customHeight="1" thickBot="1" x14ac:dyDescent="0.3">
      <c r="A67" s="315" t="str">
        <f t="shared" ca="1" si="0"/>
        <v>KS</v>
      </c>
      <c r="B67" s="315"/>
      <c r="C67" s="315"/>
      <c r="D67" s="315"/>
      <c r="E67" s="315"/>
      <c r="F67" s="316"/>
      <c r="G67" s="12">
        <f t="shared" si="1"/>
        <v>9</v>
      </c>
      <c r="H67" s="42">
        <f t="shared" ca="1" si="2"/>
        <v>0</v>
      </c>
      <c r="I67" s="42"/>
      <c r="J67" s="12">
        <v>2</v>
      </c>
      <c r="K67" s="206">
        <f t="shared" si="3"/>
        <v>1</v>
      </c>
      <c r="L67" s="198"/>
      <c r="M67" s="331">
        <v>5</v>
      </c>
      <c r="N67" s="332"/>
      <c r="O67" s="7"/>
      <c r="P67" s="6"/>
      <c r="R67" s="6">
        <v>1</v>
      </c>
      <c r="S67" s="4">
        <v>1</v>
      </c>
      <c r="T67" s="7"/>
      <c r="U67" s="319">
        <v>1.4</v>
      </c>
      <c r="V67" s="315"/>
      <c r="W67" s="315">
        <v>0.2</v>
      </c>
      <c r="X67" s="315"/>
      <c r="Y67" s="315">
        <v>0</v>
      </c>
      <c r="Z67" s="353"/>
      <c r="AA67"/>
      <c r="AI67" s="242">
        <f>AI66+1</f>
        <v>3</v>
      </c>
      <c r="AJ67" s="255">
        <f ca="1">IF(OR(AE114=CL81,AH114=CL81),AI67,0)</f>
        <v>3</v>
      </c>
      <c r="AK67" s="574">
        <v>7.9130000000000003</v>
      </c>
      <c r="AL67" s="378"/>
      <c r="AN67" s="196">
        <v>1</v>
      </c>
      <c r="AO67" s="196">
        <f ca="1">IF(CL83=AW109,IF(CL82=AW105,1,3),IF(CL82=AW105,5,7))</f>
        <v>1</v>
      </c>
      <c r="AP67" s="436" t="s">
        <v>287</v>
      </c>
      <c r="AQ67" s="351"/>
      <c r="AR67" s="351"/>
      <c r="AS67" s="351"/>
      <c r="AT67" s="351"/>
      <c r="AU67" s="351"/>
      <c r="AV67" s="352"/>
      <c r="AW67" s="177"/>
      <c r="AY67" s="423"/>
      <c r="AZ67" s="523"/>
      <c r="BA67" s="345"/>
      <c r="BB67" s="523"/>
      <c r="BC67" s="345"/>
      <c r="BD67" s="523"/>
      <c r="BE67" s="345"/>
      <c r="BF67" s="523"/>
      <c r="BP67" s="538">
        <f ca="1">BP66-BC69</f>
        <v>80.55</v>
      </c>
      <c r="BQ67" s="539"/>
      <c r="BR67" s="538">
        <f ca="1">BR66-BC69</f>
        <v>88.75</v>
      </c>
      <c r="BS67" s="540"/>
      <c r="BT67" s="548" t="s">
        <v>44</v>
      </c>
      <c r="BU67" s="548"/>
      <c r="BV67" s="548"/>
      <c r="BW67" s="548"/>
      <c r="BX67" s="548"/>
      <c r="BY67" s="548"/>
      <c r="BZ67" s="548"/>
      <c r="CA67" s="177"/>
      <c r="CB67" s="531" t="s">
        <v>210</v>
      </c>
      <c r="CC67" s="531"/>
      <c r="CD67" s="531"/>
      <c r="CE67" s="532"/>
      <c r="CF67" s="314" t="str">
        <f t="shared" ca="1" si="4"/>
        <v>8 cm (60%)</v>
      </c>
      <c r="CG67" s="573"/>
      <c r="CH67" s="573"/>
      <c r="CI67" s="573"/>
      <c r="CJ67" s="573"/>
      <c r="CM67" s="11"/>
      <c r="CN67" s="145"/>
      <c r="CQ67" s="170"/>
      <c r="CR67" s="170"/>
      <c r="CX67" s="148"/>
      <c r="CY67" s="148"/>
      <c r="CZ67" s="148"/>
      <c r="DA67" s="148"/>
      <c r="DB67" s="148"/>
      <c r="DC67" s="148"/>
      <c r="DD67" s="286"/>
      <c r="DE67" s="286"/>
      <c r="DF67" s="286"/>
      <c r="DG67" s="148"/>
      <c r="DH67" s="148"/>
      <c r="DI67" s="148"/>
      <c r="DJ67" s="148"/>
      <c r="DK67" s="148"/>
      <c r="DL67" s="148"/>
      <c r="DM67" s="148"/>
      <c r="DN67" s="148"/>
      <c r="DO67" s="148"/>
      <c r="DP67" s="148"/>
      <c r="DQ67" s="148"/>
      <c r="DR67" s="148"/>
      <c r="DS67" s="286"/>
      <c r="DT67" s="286"/>
      <c r="DU67" s="286"/>
      <c r="DV67" s="285"/>
      <c r="DW67" s="148"/>
      <c r="DX67" s="148"/>
      <c r="DY67" s="148"/>
      <c r="DZ67" s="148"/>
      <c r="EA67" s="148"/>
      <c r="EB67" s="148"/>
      <c r="EC67" s="148"/>
      <c r="ED67" s="148"/>
      <c r="EE67" s="148"/>
      <c r="EF67" s="148"/>
      <c r="EG67" s="148"/>
      <c r="ES67" s="100" t="str">
        <f>""</f>
        <v/>
      </c>
      <c r="ET67" s="305" t="s">
        <v>115</v>
      </c>
      <c r="EU67" s="305"/>
      <c r="EV67" s="305"/>
      <c r="EW67" s="75" t="str" cm="1">
        <f t="array" aca="1" ref="EW67:EW147" ca="1">OFFSET(EW67:EW147,0,$EW$66,81,1)</f>
        <v>English</v>
      </c>
      <c r="EX67" s="68" t="s">
        <v>88</v>
      </c>
      <c r="EY67" s="69" t="s">
        <v>87</v>
      </c>
      <c r="EZ67" s="69" t="s">
        <v>108</v>
      </c>
      <c r="FA67" s="70" t="s">
        <v>109</v>
      </c>
    </row>
    <row r="68" spans="1:157" s="4" customFormat="1" ht="15" hidden="1" customHeight="1" thickBot="1" x14ac:dyDescent="0.3">
      <c r="A68" s="315" t="str">
        <f t="shared" ca="1" si="0"/>
        <v>KS Recess</v>
      </c>
      <c r="B68" s="315"/>
      <c r="C68" s="315"/>
      <c r="D68" s="315"/>
      <c r="E68" s="315"/>
      <c r="F68" s="316"/>
      <c r="G68" s="12">
        <f t="shared" si="1"/>
        <v>10</v>
      </c>
      <c r="H68" s="42">
        <f t="shared" ca="1" si="2"/>
        <v>0</v>
      </c>
      <c r="I68" s="42"/>
      <c r="J68" s="12">
        <v>2</v>
      </c>
      <c r="K68" s="206">
        <f t="shared" si="3"/>
        <v>1</v>
      </c>
      <c r="L68" s="198"/>
      <c r="M68" s="331">
        <v>5</v>
      </c>
      <c r="N68" s="332"/>
      <c r="O68" s="7"/>
      <c r="P68" s="6"/>
      <c r="R68" s="6">
        <v>1</v>
      </c>
      <c r="S68" s="4">
        <v>1</v>
      </c>
      <c r="T68" s="7"/>
      <c r="U68" s="319">
        <v>0</v>
      </c>
      <c r="V68" s="315"/>
      <c r="W68" s="315">
        <v>0</v>
      </c>
      <c r="X68" s="315"/>
      <c r="Y68" s="315">
        <v>0</v>
      </c>
      <c r="Z68" s="353"/>
      <c r="AA68"/>
      <c r="AS68"/>
      <c r="AT68"/>
      <c r="AU68"/>
      <c r="AV68" s="177"/>
      <c r="AW68" s="177"/>
      <c r="AY68" s="424"/>
      <c r="AZ68" s="524"/>
      <c r="BA68" s="346"/>
      <c r="BB68" s="524"/>
      <c r="BC68" s="346"/>
      <c r="BD68" s="524"/>
      <c r="BE68" s="346"/>
      <c r="BF68" s="524"/>
      <c r="BN68" s="148"/>
      <c r="BP68" s="538">
        <f ca="1">BP67/AK64</f>
        <v>10.179451535447996</v>
      </c>
      <c r="BQ68" s="539"/>
      <c r="BR68" s="538">
        <f ca="1">BR67/AK64</f>
        <v>11.215720965499811</v>
      </c>
      <c r="BS68" s="540"/>
      <c r="BT68" s="551" t="s">
        <v>227</v>
      </c>
      <c r="BU68" s="548"/>
      <c r="BV68" s="548"/>
      <c r="BW68" s="548"/>
      <c r="BX68" s="548"/>
      <c r="BY68" s="548"/>
      <c r="BZ68" s="548"/>
      <c r="CA68" s="177"/>
      <c r="CB68" s="531" t="s">
        <v>211</v>
      </c>
      <c r="CC68" s="531"/>
      <c r="CD68" s="531"/>
      <c r="CE68" s="532"/>
      <c r="CF68" s="307" t="str">
        <f t="shared" ca="1" si="4"/>
        <v>One-way draw</v>
      </c>
      <c r="CG68" s="305"/>
      <c r="CH68" s="305"/>
      <c r="CI68" s="305"/>
      <c r="CJ68" s="305"/>
      <c r="CM68" s="11"/>
      <c r="CN68" s="145"/>
      <c r="CX68" s="148"/>
      <c r="CY68" s="148"/>
      <c r="CZ68" s="148"/>
      <c r="DA68" s="148"/>
      <c r="DB68" s="148"/>
      <c r="DC68" s="148"/>
      <c r="DD68" s="148"/>
      <c r="DE68" s="148"/>
      <c r="DF68" s="148"/>
      <c r="DG68" s="148"/>
      <c r="DH68" s="148"/>
      <c r="DI68" s="148"/>
      <c r="DJ68" s="148"/>
      <c r="DK68" s="148"/>
      <c r="DL68" s="148"/>
      <c r="DM68" s="148"/>
      <c r="DN68" s="148"/>
      <c r="DO68" s="148"/>
      <c r="DP68" s="148"/>
      <c r="DQ68" s="148"/>
      <c r="DR68" s="148"/>
      <c r="DS68" s="148"/>
      <c r="DT68" s="148"/>
      <c r="DU68" s="148"/>
      <c r="DV68" s="285"/>
      <c r="DW68" s="148"/>
      <c r="DX68" s="148"/>
      <c r="DY68" s="148"/>
      <c r="DZ68" s="148"/>
      <c r="EA68" s="148"/>
      <c r="EB68" s="148"/>
      <c r="EC68" s="148"/>
      <c r="ED68" s="148"/>
      <c r="EE68" s="148"/>
      <c r="EF68" s="148"/>
      <c r="EG68" s="148"/>
      <c r="ES68" s="101" t="str">
        <f>""</f>
        <v/>
      </c>
      <c r="ET68" s="541" t="s">
        <v>116</v>
      </c>
      <c r="EU68" s="541"/>
      <c r="EV68" s="541"/>
      <c r="EW68" s="76" t="str">
        <f ca="1"/>
        <v xml:space="preserve">Track type       = </v>
      </c>
      <c r="EX68" s="6" t="s">
        <v>332</v>
      </c>
      <c r="EY68" s="12" t="s">
        <v>336</v>
      </c>
      <c r="EZ68" s="12"/>
      <c r="FA68" s="18"/>
    </row>
    <row r="69" spans="1:157" s="4" customFormat="1" ht="15" hidden="1" customHeight="1" thickTop="1" thickBot="1" x14ac:dyDescent="0.3">
      <c r="A69" s="315" t="str">
        <f t="shared" ca="1" si="0"/>
        <v>CS</v>
      </c>
      <c r="B69" s="315"/>
      <c r="C69" s="315"/>
      <c r="D69" s="315"/>
      <c r="E69" s="315"/>
      <c r="F69" s="316"/>
      <c r="G69" s="12">
        <f t="shared" si="1"/>
        <v>11</v>
      </c>
      <c r="H69" s="42">
        <f t="shared" ca="1" si="2"/>
        <v>0</v>
      </c>
      <c r="I69" s="42"/>
      <c r="J69" s="12">
        <v>2</v>
      </c>
      <c r="K69" s="206">
        <f>IF(J69=2,1,0)</f>
        <v>1</v>
      </c>
      <c r="L69" s="198"/>
      <c r="M69" s="331">
        <v>1</v>
      </c>
      <c r="N69" s="332"/>
      <c r="O69" s="7"/>
      <c r="P69" s="6"/>
      <c r="R69" s="6">
        <v>1</v>
      </c>
      <c r="S69" s="4">
        <v>1</v>
      </c>
      <c r="T69" s="7">
        <v>1</v>
      </c>
      <c r="U69" s="319">
        <v>1.2</v>
      </c>
      <c r="V69" s="315"/>
      <c r="W69" s="315">
        <v>0.2</v>
      </c>
      <c r="X69" s="315"/>
      <c r="Y69" s="315">
        <v>0</v>
      </c>
      <c r="Z69" s="353"/>
      <c r="AA69"/>
      <c r="AI69" s="323" t="s">
        <v>326</v>
      </c>
      <c r="AJ69" s="578"/>
      <c r="AK69" s="578"/>
      <c r="AL69" s="324"/>
      <c r="AS69"/>
      <c r="AT69"/>
      <c r="AU69"/>
      <c r="AX69" s="176" t="s">
        <v>31</v>
      </c>
      <c r="AY69" s="347">
        <f ca="1">OFFSET(AY70,$AK$76,0,1,1)</f>
        <v>7.9</v>
      </c>
      <c r="AZ69" s="348"/>
      <c r="BA69" s="347">
        <f ca="1">OFFSET(BA70,$AK$76,0,1,1)</f>
        <v>7.6</v>
      </c>
      <c r="BB69" s="348"/>
      <c r="BC69" s="347">
        <f ca="1">OFFSET(BC70,$AK$76,0,1,1)</f>
        <v>7.25</v>
      </c>
      <c r="BD69" s="348"/>
      <c r="BE69" s="347">
        <f ca="1">OFFSET(BE70,$AK$76,0,1,1)</f>
        <v>1</v>
      </c>
      <c r="BF69" s="348"/>
      <c r="BG69" s="323" t="s">
        <v>276</v>
      </c>
      <c r="BH69" s="578"/>
      <c r="BI69" s="578"/>
      <c r="BJ69" s="578"/>
      <c r="BK69" s="578"/>
      <c r="BL69" s="578"/>
      <c r="BM69" s="324"/>
      <c r="BN69" s="148"/>
      <c r="BP69" s="538">
        <f ca="1">BP68+1</f>
        <v>11.179451535447996</v>
      </c>
      <c r="BQ69" s="539"/>
      <c r="BR69" s="538">
        <f ca="1">BR68+1</f>
        <v>12.215720965499811</v>
      </c>
      <c r="BS69" s="540"/>
      <c r="BT69" s="551" t="s">
        <v>85</v>
      </c>
      <c r="BU69" s="548"/>
      <c r="BV69" s="548"/>
      <c r="BW69" s="548"/>
      <c r="BX69" s="548"/>
      <c r="BY69" s="548"/>
      <c r="BZ69" s="548"/>
      <c r="CB69" s="531" t="s">
        <v>212</v>
      </c>
      <c r="CC69" s="531"/>
      <c r="CD69" s="531"/>
      <c r="CE69" s="532"/>
      <c r="CF69" s="314" t="str">
        <f t="shared" ca="1" si="4"/>
        <v>Steel</v>
      </c>
      <c r="CG69" s="573"/>
      <c r="CH69" s="573"/>
      <c r="CI69" s="573"/>
      <c r="CJ69" s="573"/>
      <c r="CM69" s="11"/>
      <c r="CN69" s="145"/>
      <c r="CX69" s="148"/>
      <c r="CY69" s="148"/>
      <c r="CZ69" s="148"/>
      <c r="DA69" s="148"/>
      <c r="DB69" s="148"/>
      <c r="DC69" s="148"/>
      <c r="DD69" s="148"/>
      <c r="DE69" s="148"/>
      <c r="DF69" s="148"/>
      <c r="DG69" s="148"/>
      <c r="DH69" s="148"/>
      <c r="DI69" s="148"/>
      <c r="DJ69" s="148"/>
      <c r="DK69" s="148"/>
      <c r="DL69" s="148"/>
      <c r="DM69" s="148"/>
      <c r="DN69" s="148"/>
      <c r="DO69" s="148"/>
      <c r="DP69" s="148"/>
      <c r="DQ69" s="148"/>
      <c r="DR69" s="148"/>
      <c r="DS69" s="148"/>
      <c r="DT69" s="148"/>
      <c r="DU69" s="148"/>
      <c r="DV69" s="285"/>
      <c r="DW69" s="148"/>
      <c r="DX69" s="148"/>
      <c r="DY69" s="148"/>
      <c r="DZ69" s="148"/>
      <c r="EA69" s="148"/>
      <c r="EB69" s="148"/>
      <c r="EC69" s="148"/>
      <c r="ED69" s="148"/>
      <c r="EE69" s="148"/>
      <c r="EF69" s="148"/>
      <c r="EG69" s="148"/>
      <c r="ES69" s="101" t="str">
        <f>""</f>
        <v/>
      </c>
      <c r="ET69" s="541"/>
      <c r="EU69" s="541"/>
      <c r="EV69" s="541"/>
      <c r="EW69" s="79" t="str">
        <f ca="1"/>
        <v xml:space="preserve">Track size in cm   = </v>
      </c>
      <c r="EX69" s="61" t="s">
        <v>333</v>
      </c>
      <c r="EY69" s="62" t="s">
        <v>330</v>
      </c>
      <c r="EZ69" s="62"/>
      <c r="FA69" s="67"/>
    </row>
    <row r="70" spans="1:157" s="4" customFormat="1" ht="16.5" hidden="1" customHeight="1" thickTop="1" thickBot="1" x14ac:dyDescent="0.3">
      <c r="A70" s="315" t="str">
        <f t="shared" ca="1" si="0"/>
        <v>DS</v>
      </c>
      <c r="B70" s="315"/>
      <c r="C70" s="315"/>
      <c r="D70" s="315"/>
      <c r="E70" s="315"/>
      <c r="F70" s="316"/>
      <c r="G70" s="12">
        <f t="shared" si="1"/>
        <v>12</v>
      </c>
      <c r="H70" s="42">
        <f t="shared" ca="1" si="2"/>
        <v>0</v>
      </c>
      <c r="I70" s="42"/>
      <c r="J70" s="12">
        <v>2</v>
      </c>
      <c r="K70" s="206">
        <f t="shared" si="3"/>
        <v>1</v>
      </c>
      <c r="L70" s="198"/>
      <c r="M70" s="331">
        <v>5</v>
      </c>
      <c r="N70" s="332"/>
      <c r="O70" s="7"/>
      <c r="P70" s="6"/>
      <c r="R70" s="6">
        <v>1</v>
      </c>
      <c r="S70" s="4">
        <v>1</v>
      </c>
      <c r="T70" s="7"/>
      <c r="U70" s="319">
        <v>1.4</v>
      </c>
      <c r="V70" s="315"/>
      <c r="W70" s="315">
        <v>0.2</v>
      </c>
      <c r="X70" s="315"/>
      <c r="Y70" s="315">
        <v>0</v>
      </c>
      <c r="Z70" s="353"/>
      <c r="AA70" s="24"/>
      <c r="AI70" s="246">
        <f ca="1">IF(E19=EW108,0,IF(AL89=W57,0,1))</f>
        <v>0</v>
      </c>
      <c r="AJ70" s="587" t="s">
        <v>327</v>
      </c>
      <c r="AK70" s="587"/>
      <c r="AL70" s="587"/>
      <c r="AS70"/>
      <c r="AT70"/>
      <c r="AU70"/>
      <c r="AX70" s="181">
        <v>0</v>
      </c>
      <c r="AY70" s="359">
        <v>0</v>
      </c>
      <c r="AZ70" s="579"/>
      <c r="BA70" s="359">
        <v>0</v>
      </c>
      <c r="BB70" s="579"/>
      <c r="BC70" s="359">
        <v>0</v>
      </c>
      <c r="BD70" s="579"/>
      <c r="BE70" s="359">
        <v>0</v>
      </c>
      <c r="BF70" s="579"/>
      <c r="BG70" s="525" t="s">
        <v>263</v>
      </c>
      <c r="BH70" s="525"/>
      <c r="BI70" s="525"/>
      <c r="BJ70" s="525"/>
      <c r="BK70" s="525"/>
      <c r="BL70" s="525"/>
      <c r="BM70" s="526"/>
      <c r="BN70" s="148"/>
      <c r="BP70" s="538">
        <f ca="1">ROUNDUP(BP69,0)</f>
        <v>12</v>
      </c>
      <c r="BQ70" s="539"/>
      <c r="BR70" s="538">
        <f ca="1">ROUNDUP(BR69,0)</f>
        <v>13</v>
      </c>
      <c r="BS70" s="540"/>
      <c r="BT70" s="548" t="s">
        <v>228</v>
      </c>
      <c r="BU70" s="548"/>
      <c r="BV70" s="548"/>
      <c r="BW70" s="548"/>
      <c r="BX70" s="548"/>
      <c r="BY70" s="548"/>
      <c r="BZ70" s="548"/>
      <c r="CB70" s="533" t="s">
        <v>213</v>
      </c>
      <c r="CC70" s="533"/>
      <c r="CD70" s="533"/>
      <c r="CE70" s="534"/>
      <c r="CF70" s="307">
        <f t="shared" ca="1" si="4"/>
        <v>0</v>
      </c>
      <c r="CG70" s="305"/>
      <c r="CH70" s="305"/>
      <c r="CI70" s="305"/>
      <c r="CJ70" s="305"/>
      <c r="CM70" s="11"/>
      <c r="CN70" s="145"/>
      <c r="CX70" s="148"/>
      <c r="CY70" s="148"/>
      <c r="CZ70" s="148"/>
      <c r="DA70" s="148"/>
      <c r="DB70" s="148"/>
      <c r="DC70" s="148"/>
      <c r="DD70" s="148"/>
      <c r="DE70" s="148"/>
      <c r="DF70" s="148"/>
      <c r="DG70" s="148"/>
      <c r="DH70" s="148"/>
      <c r="DI70" s="148"/>
      <c r="DJ70" s="148"/>
      <c r="DK70" s="148"/>
      <c r="DL70" s="148"/>
      <c r="DM70" s="148"/>
      <c r="DN70" s="148"/>
      <c r="DO70" s="148"/>
      <c r="DP70" s="148"/>
      <c r="DQ70" s="148"/>
      <c r="DR70" s="148"/>
      <c r="DS70" s="148"/>
      <c r="DT70" s="148"/>
      <c r="DU70" s="148"/>
      <c r="DV70" s="285"/>
      <c r="DW70" s="148"/>
      <c r="DX70" s="148"/>
      <c r="DY70" s="148"/>
      <c r="DZ70" s="148"/>
      <c r="EA70" s="148"/>
      <c r="EB70" s="148"/>
      <c r="EC70" s="148"/>
      <c r="ED70" s="148"/>
      <c r="EE70" s="148"/>
      <c r="EF70" s="148"/>
      <c r="EG70" s="148"/>
      <c r="ES70" s="101" t="str">
        <f>""</f>
        <v/>
      </c>
      <c r="ET70" s="541"/>
      <c r="EU70" s="541"/>
      <c r="EV70" s="541"/>
      <c r="EW70" s="79" t="str">
        <f ca="1"/>
        <v xml:space="preserve">Track size in inches = </v>
      </c>
      <c r="EX70" s="61" t="s">
        <v>344</v>
      </c>
      <c r="EY70" s="62" t="s">
        <v>343</v>
      </c>
      <c r="EZ70" s="62"/>
      <c r="FA70" s="67"/>
    </row>
    <row r="71" spans="1:157" s="4" customFormat="1" ht="15.75" hidden="1" customHeight="1" thickBot="1" x14ac:dyDescent="0.3">
      <c r="A71" s="315" t="str">
        <f t="shared" ca="1" si="0"/>
        <v>DS-XL</v>
      </c>
      <c r="B71" s="315"/>
      <c r="C71" s="315"/>
      <c r="D71" s="315"/>
      <c r="E71" s="315"/>
      <c r="F71" s="316"/>
      <c r="G71" s="12">
        <f t="shared" si="1"/>
        <v>13</v>
      </c>
      <c r="H71" s="42">
        <f t="shared" ca="1" si="2"/>
        <v>0</v>
      </c>
      <c r="I71" s="42"/>
      <c r="J71" s="12">
        <v>2</v>
      </c>
      <c r="K71" s="206">
        <f t="shared" si="3"/>
        <v>1</v>
      </c>
      <c r="L71" s="198"/>
      <c r="M71" s="331">
        <v>3</v>
      </c>
      <c r="N71" s="332"/>
      <c r="O71" s="7"/>
      <c r="P71" s="6"/>
      <c r="R71" s="6">
        <v>1</v>
      </c>
      <c r="S71" s="4">
        <v>1</v>
      </c>
      <c r="T71" s="7"/>
      <c r="U71" s="319">
        <v>1.3</v>
      </c>
      <c r="V71" s="315"/>
      <c r="W71" s="315">
        <v>0.4</v>
      </c>
      <c r="X71" s="315"/>
      <c r="Y71" s="315">
        <v>0</v>
      </c>
      <c r="Z71" s="353"/>
      <c r="AA71" s="24"/>
      <c r="AI71"/>
      <c r="AJ71"/>
      <c r="AK71"/>
      <c r="AS71"/>
      <c r="AT71"/>
      <c r="AU71"/>
      <c r="AX71" s="182">
        <v>1</v>
      </c>
      <c r="AY71" s="329">
        <v>7.9</v>
      </c>
      <c r="AZ71" s="330"/>
      <c r="BA71" s="329">
        <v>7.6</v>
      </c>
      <c r="BB71" s="330"/>
      <c r="BC71" s="329">
        <v>7.25</v>
      </c>
      <c r="BD71" s="330"/>
      <c r="BE71" s="329">
        <v>1</v>
      </c>
      <c r="BF71" s="330"/>
      <c r="BG71" s="518" t="s">
        <v>259</v>
      </c>
      <c r="BH71" s="518"/>
      <c r="BI71" s="518"/>
      <c r="BJ71" s="518"/>
      <c r="BK71" s="518"/>
      <c r="BL71" s="518"/>
      <c r="BM71" s="519"/>
      <c r="BN71" s="148"/>
      <c r="BP71" s="538">
        <f ca="1">IF(AI73=1,IF(ISEVEN(BP70),BP70,BP70+1),IF(ISEVEN(BP70),BP70+1,BP70))</f>
        <v>12</v>
      </c>
      <c r="BQ71" s="539"/>
      <c r="BR71" s="538">
        <f ca="1">IF(AI74=1,IF(ISEVEN(BR70),BR70,BR70+1),IF(ISEVEN(BR70),BR70+1,BR70))</f>
        <v>14</v>
      </c>
      <c r="BS71" s="540"/>
      <c r="BT71" s="552" t="s">
        <v>218</v>
      </c>
      <c r="BU71" s="553"/>
      <c r="BV71" s="553"/>
      <c r="BW71" s="553"/>
      <c r="BX71" s="553"/>
      <c r="BY71" s="553"/>
      <c r="BZ71" s="553"/>
      <c r="CB71" s="533" t="s">
        <v>214</v>
      </c>
      <c r="CC71" s="533"/>
      <c r="CD71" s="533"/>
      <c r="CE71" s="534"/>
      <c r="CF71" s="307">
        <f t="shared" ca="1" si="4"/>
        <v>0</v>
      </c>
      <c r="CG71" s="305"/>
      <c r="CH71" s="305"/>
      <c r="CI71" s="305"/>
      <c r="CJ71" s="305"/>
      <c r="CN71" s="145"/>
      <c r="CX71" s="148"/>
      <c r="CY71" s="148"/>
      <c r="CZ71" s="148"/>
      <c r="DA71" s="148"/>
      <c r="DB71" s="148"/>
      <c r="DC71" s="148"/>
      <c r="DD71" s="148"/>
      <c r="DE71" s="148"/>
      <c r="DF71" s="148"/>
      <c r="DG71" s="148"/>
      <c r="DH71" s="148"/>
      <c r="DI71" s="148"/>
      <c r="DJ71" s="148"/>
      <c r="DK71" s="148"/>
      <c r="DL71" s="148"/>
      <c r="DM71" s="148"/>
      <c r="DN71" s="148"/>
      <c r="DO71" s="148"/>
      <c r="DP71" s="148"/>
      <c r="DQ71" s="148"/>
      <c r="DR71" s="148"/>
      <c r="DS71" s="148"/>
      <c r="DT71" s="148"/>
      <c r="DU71" s="148"/>
      <c r="DV71" s="285"/>
      <c r="DW71" s="148"/>
      <c r="DX71" s="148"/>
      <c r="DY71" s="148"/>
      <c r="DZ71" s="148"/>
      <c r="EA71" s="148"/>
      <c r="EB71" s="148"/>
      <c r="EC71" s="148"/>
      <c r="ED71" s="148"/>
      <c r="EE71" s="148"/>
      <c r="EF71" s="148"/>
      <c r="EG71" s="148"/>
      <c r="ES71" s="101" t="str">
        <f>""</f>
        <v/>
      </c>
      <c r="ET71" s="541"/>
      <c r="EU71" s="541"/>
      <c r="EV71" s="541"/>
      <c r="EW71" s="78" t="str">
        <f ca="1"/>
        <v xml:space="preserve">Type of Carrier    = </v>
      </c>
      <c r="EX71" s="55" t="s">
        <v>334</v>
      </c>
      <c r="EY71" s="57" t="s">
        <v>337</v>
      </c>
      <c r="EZ71" s="57"/>
      <c r="FA71" s="66"/>
    </row>
    <row r="72" spans="1:157" s="4" customFormat="1" ht="15.75" hidden="1" customHeight="1" thickBot="1" x14ac:dyDescent="0.3">
      <c r="A72" s="315" t="str">
        <f t="shared" ca="1" si="0"/>
        <v>DS-XL Motorised</v>
      </c>
      <c r="B72" s="315"/>
      <c r="C72" s="315"/>
      <c r="D72" s="315"/>
      <c r="E72" s="315"/>
      <c r="F72" s="316"/>
      <c r="G72" s="12">
        <f t="shared" si="1"/>
        <v>14</v>
      </c>
      <c r="H72" s="42">
        <f t="shared" ca="1" si="2"/>
        <v>0</v>
      </c>
      <c r="I72" s="42"/>
      <c r="J72" s="12">
        <v>1</v>
      </c>
      <c r="K72" s="206">
        <f t="shared" si="3"/>
        <v>0</v>
      </c>
      <c r="L72" s="198"/>
      <c r="M72" s="6">
        <v>3</v>
      </c>
      <c r="N72" s="7">
        <v>4</v>
      </c>
      <c r="O72" s="7">
        <v>6</v>
      </c>
      <c r="P72" s="6">
        <v>1</v>
      </c>
      <c r="Q72" s="4">
        <v>1</v>
      </c>
      <c r="R72" s="6">
        <v>1</v>
      </c>
      <c r="S72" s="4">
        <v>1</v>
      </c>
      <c r="T72" s="7"/>
      <c r="U72" s="319">
        <v>6.5</v>
      </c>
      <c r="V72" s="315"/>
      <c r="W72" s="315">
        <v>6.5</v>
      </c>
      <c r="X72" s="315"/>
      <c r="Y72" s="315">
        <v>1</v>
      </c>
      <c r="Z72" s="353"/>
      <c r="AA72"/>
      <c r="AI72" s="323" t="s">
        <v>307</v>
      </c>
      <c r="AJ72" s="578"/>
      <c r="AK72" s="578"/>
      <c r="AL72" s="324"/>
      <c r="AS72"/>
      <c r="AT72"/>
      <c r="AU72"/>
      <c r="AX72" s="182">
        <v>2</v>
      </c>
      <c r="AY72" s="357">
        <v>2.9</v>
      </c>
      <c r="AZ72" s="376"/>
      <c r="BA72" s="357">
        <v>2.08</v>
      </c>
      <c r="BB72" s="376"/>
      <c r="BC72" s="357">
        <v>-1</v>
      </c>
      <c r="BD72" s="376"/>
      <c r="BE72" s="357">
        <v>0</v>
      </c>
      <c r="BF72" s="376"/>
      <c r="BG72" s="527" t="s">
        <v>260</v>
      </c>
      <c r="BH72" s="527"/>
      <c r="BI72" s="527"/>
      <c r="BJ72" s="527"/>
      <c r="BK72" s="527"/>
      <c r="BL72" s="527"/>
      <c r="BM72" s="528"/>
      <c r="BN72"/>
      <c r="BP72" s="389">
        <f ca="1">IF(AI70=1,BR74-Y57-BE69,BP71)</f>
        <v>12</v>
      </c>
      <c r="BQ72" s="568"/>
      <c r="BR72" s="389">
        <f ca="1">BR71</f>
        <v>14</v>
      </c>
      <c r="BS72" s="368"/>
      <c r="BT72" s="552" t="s">
        <v>219</v>
      </c>
      <c r="BU72" s="553"/>
      <c r="BV72" s="553"/>
      <c r="BW72" s="553"/>
      <c r="BX72" s="553"/>
      <c r="BY72" s="553"/>
      <c r="BZ72" s="553"/>
      <c r="CB72" s="531" t="s">
        <v>215</v>
      </c>
      <c r="CC72" s="531"/>
      <c r="CD72" s="531"/>
      <c r="CE72" s="532"/>
      <c r="CF72" s="543">
        <f t="shared" ca="1" si="4"/>
        <v>16</v>
      </c>
      <c r="CG72" s="572"/>
      <c r="CH72" s="572"/>
      <c r="CI72" s="572"/>
      <c r="CJ72" s="572"/>
      <c r="CM72" s="11"/>
      <c r="CN72" s="145"/>
      <c r="CX72" s="148"/>
      <c r="CY72" s="148"/>
      <c r="CZ72" s="148"/>
      <c r="DA72" s="148"/>
      <c r="DB72" s="148"/>
      <c r="DC72" s="148"/>
      <c r="DD72" s="287"/>
      <c r="DE72" s="287"/>
      <c r="DF72" s="287"/>
      <c r="DG72" s="148"/>
      <c r="DH72" s="148"/>
      <c r="DI72" s="148"/>
      <c r="DJ72" s="148"/>
      <c r="DK72" s="148"/>
      <c r="DL72" s="148"/>
      <c r="DM72" s="148"/>
      <c r="DN72" s="148"/>
      <c r="DO72" s="148"/>
      <c r="DP72" s="148"/>
      <c r="DQ72" s="148"/>
      <c r="DR72" s="148"/>
      <c r="DS72" s="287"/>
      <c r="DT72" s="287"/>
      <c r="DU72" s="287"/>
      <c r="DV72" s="285"/>
      <c r="DW72" s="148"/>
      <c r="DX72" s="148"/>
      <c r="DY72" s="148"/>
      <c r="DZ72" s="148"/>
      <c r="EA72" s="148"/>
      <c r="EB72" s="148"/>
      <c r="EC72" s="148"/>
      <c r="ED72" s="148"/>
      <c r="EE72" s="148"/>
      <c r="EF72" s="148"/>
      <c r="EG72" s="148"/>
      <c r="ES72" s="101" t="str">
        <f>""</f>
        <v/>
      </c>
      <c r="ET72" s="541"/>
      <c r="EU72" s="541"/>
      <c r="EV72" s="541"/>
      <c r="EW72" s="77" t="str">
        <f ca="1"/>
        <v>-</v>
      </c>
      <c r="EX72" s="58" t="s">
        <v>14</v>
      </c>
      <c r="EY72" s="60" t="s">
        <v>14</v>
      </c>
      <c r="EZ72" s="60"/>
      <c r="FA72" s="65"/>
    </row>
    <row r="73" spans="1:157" s="4" customFormat="1" ht="15" hidden="1" customHeight="1" thickTop="1" thickBot="1" x14ac:dyDescent="0.3">
      <c r="A73" s="315" t="str">
        <f t="shared" ca="1" si="0"/>
        <v>DS-XL Corded</v>
      </c>
      <c r="B73" s="315"/>
      <c r="C73" s="315"/>
      <c r="D73" s="315"/>
      <c r="E73" s="315"/>
      <c r="F73" s="316"/>
      <c r="G73" s="12">
        <f t="shared" si="1"/>
        <v>15</v>
      </c>
      <c r="H73" s="42">
        <f t="shared" ca="1" si="2"/>
        <v>0</v>
      </c>
      <c r="I73" s="42"/>
      <c r="J73" s="12">
        <v>3</v>
      </c>
      <c r="K73" s="206">
        <f t="shared" si="3"/>
        <v>0</v>
      </c>
      <c r="L73" s="198"/>
      <c r="M73" s="331">
        <v>3</v>
      </c>
      <c r="N73" s="332"/>
      <c r="O73" s="7"/>
      <c r="P73" s="6"/>
      <c r="Q73" s="4">
        <v>3</v>
      </c>
      <c r="R73" s="6">
        <v>1</v>
      </c>
      <c r="S73" s="4">
        <v>1</v>
      </c>
      <c r="T73" s="7"/>
      <c r="U73" s="319">
        <v>1.2</v>
      </c>
      <c r="V73" s="315"/>
      <c r="W73" s="315">
        <v>1.2</v>
      </c>
      <c r="X73" s="315"/>
      <c r="Y73" s="315">
        <v>0</v>
      </c>
      <c r="Z73" s="353"/>
      <c r="AA73" s="24"/>
      <c r="AI73" s="233">
        <f ca="1">IF(_xlfn.XOR(Y57,BE69)=FALSE,1,0)</f>
        <v>1</v>
      </c>
      <c r="AJ73" s="335" t="s">
        <v>309</v>
      </c>
      <c r="AK73" s="335"/>
      <c r="AL73" s="335"/>
      <c r="AS73"/>
      <c r="AT73"/>
      <c r="AU73"/>
      <c r="AX73" s="182">
        <v>3</v>
      </c>
      <c r="AY73" s="329">
        <v>4.2</v>
      </c>
      <c r="AZ73" s="330"/>
      <c r="BA73" s="329">
        <v>3.35</v>
      </c>
      <c r="BB73" s="330"/>
      <c r="BC73" s="329">
        <v>2.5</v>
      </c>
      <c r="BD73" s="330"/>
      <c r="BE73" s="329">
        <v>0</v>
      </c>
      <c r="BF73" s="330"/>
      <c r="BG73" s="518" t="s">
        <v>261</v>
      </c>
      <c r="BH73" s="518"/>
      <c r="BI73" s="518"/>
      <c r="BJ73" s="518"/>
      <c r="BK73" s="518"/>
      <c r="BL73" s="518"/>
      <c r="BM73" s="519"/>
      <c r="BP73" s="369"/>
      <c r="BQ73" s="569"/>
      <c r="BR73" s="369"/>
      <c r="BS73" s="370"/>
      <c r="BT73" s="552"/>
      <c r="BU73" s="553"/>
      <c r="BV73" s="553"/>
      <c r="BW73" s="553"/>
      <c r="BX73" s="553"/>
      <c r="BY73" s="553"/>
      <c r="BZ73" s="553"/>
      <c r="CJ73"/>
      <c r="CM73" s="11"/>
      <c r="CN73" s="145"/>
      <c r="CX73" s="148"/>
      <c r="CY73" s="148"/>
      <c r="CZ73" s="148"/>
      <c r="DA73" s="286"/>
      <c r="DB73" s="286"/>
      <c r="DC73" s="286"/>
      <c r="DD73" s="287"/>
      <c r="DE73" s="287"/>
      <c r="DF73" s="287"/>
      <c r="DG73" s="148"/>
      <c r="DH73" s="148"/>
      <c r="DI73" s="148"/>
      <c r="DJ73" s="148"/>
      <c r="DK73" s="148"/>
      <c r="DL73" s="148"/>
      <c r="DM73" s="148"/>
      <c r="DN73" s="148"/>
      <c r="DO73" s="148"/>
      <c r="DP73" s="286"/>
      <c r="DQ73" s="286"/>
      <c r="DR73" s="286"/>
      <c r="DS73" s="287"/>
      <c r="DT73" s="287"/>
      <c r="DU73" s="287"/>
      <c r="DV73" s="285"/>
      <c r="DW73" s="148"/>
      <c r="DX73" s="148"/>
      <c r="DY73" s="148"/>
      <c r="DZ73" s="148"/>
      <c r="EA73" s="148"/>
      <c r="EB73" s="148"/>
      <c r="EC73" s="148"/>
      <c r="ED73" s="148"/>
      <c r="EE73" s="148"/>
      <c r="EF73" s="148"/>
      <c r="EG73" s="148"/>
      <c r="ES73" s="101" t="str">
        <f>""</f>
        <v/>
      </c>
      <c r="ET73" s="541"/>
      <c r="EU73" s="541"/>
      <c r="EV73" s="541"/>
      <c r="EW73" s="78" t="str">
        <f ca="1"/>
        <v xml:space="preserve">Carrier distance   = </v>
      </c>
      <c r="EX73" s="55" t="s">
        <v>335</v>
      </c>
      <c r="EY73" s="57" t="s">
        <v>338</v>
      </c>
      <c r="EZ73" s="57"/>
      <c r="FA73" s="66"/>
    </row>
    <row r="74" spans="1:157" s="4" customFormat="1" ht="15.75" hidden="1" customHeight="1" thickBot="1" x14ac:dyDescent="0.3">
      <c r="A74" s="315" t="str">
        <f t="shared" ca="1" si="0"/>
        <v>DS-XL LED</v>
      </c>
      <c r="B74" s="315"/>
      <c r="C74" s="315"/>
      <c r="D74" s="315"/>
      <c r="E74" s="315"/>
      <c r="F74" s="316"/>
      <c r="G74" s="12">
        <f t="shared" si="1"/>
        <v>16</v>
      </c>
      <c r="H74" s="42">
        <f t="shared" ca="1" si="2"/>
        <v>0</v>
      </c>
      <c r="I74" s="42"/>
      <c r="J74" s="12">
        <v>2</v>
      </c>
      <c r="K74" s="206">
        <f t="shared" si="3"/>
        <v>1</v>
      </c>
      <c r="L74" s="198"/>
      <c r="M74" s="331">
        <v>4</v>
      </c>
      <c r="N74" s="332"/>
      <c r="O74" s="7"/>
      <c r="P74" s="6"/>
      <c r="R74" s="6">
        <v>1</v>
      </c>
      <c r="S74" s="4">
        <v>1</v>
      </c>
      <c r="T74" s="7"/>
      <c r="U74" s="319">
        <v>1.2</v>
      </c>
      <c r="V74" s="315"/>
      <c r="W74" s="315">
        <v>1.2</v>
      </c>
      <c r="X74" s="315"/>
      <c r="Y74" s="315">
        <v>0</v>
      </c>
      <c r="Z74" s="353"/>
      <c r="AA74"/>
      <c r="AI74" s="234">
        <f ca="1">IF(_xlfn.XOR(AN89,BE69)=FALSE,1,0)</f>
        <v>1</v>
      </c>
      <c r="AJ74" s="336" t="s">
        <v>308</v>
      </c>
      <c r="AK74" s="336"/>
      <c r="AL74" s="336"/>
      <c r="AS74"/>
      <c r="AT74"/>
      <c r="AU74"/>
      <c r="AX74" s="182">
        <v>4</v>
      </c>
      <c r="AY74" s="357">
        <v>8.35</v>
      </c>
      <c r="AZ74" s="376"/>
      <c r="BA74" s="357">
        <v>3.35</v>
      </c>
      <c r="BB74" s="376"/>
      <c r="BC74" s="357">
        <v>6.66</v>
      </c>
      <c r="BD74" s="376"/>
      <c r="BE74" s="357">
        <v>1</v>
      </c>
      <c r="BF74" s="376"/>
      <c r="BG74" s="527" t="s">
        <v>262</v>
      </c>
      <c r="BH74" s="527"/>
      <c r="BI74" s="527"/>
      <c r="BJ74" s="527"/>
      <c r="BK74" s="527"/>
      <c r="BL74" s="527"/>
      <c r="BM74" s="528"/>
      <c r="BP74" s="389">
        <f ca="1">IF(AI70=1,BR74,BP72+Y57+BE69)</f>
        <v>14</v>
      </c>
      <c r="BQ74" s="368"/>
      <c r="BR74" s="566">
        <f ca="1">BR71+AN89+BE69</f>
        <v>16</v>
      </c>
      <c r="BS74" s="567"/>
      <c r="BT74" s="535" t="s">
        <v>220</v>
      </c>
      <c r="BU74" s="536"/>
      <c r="BV74" s="536"/>
      <c r="BW74" s="536"/>
      <c r="BX74" s="536"/>
      <c r="BY74" s="536"/>
      <c r="BZ74" s="536"/>
      <c r="CH74" s="317" t="s">
        <v>367</v>
      </c>
      <c r="CI74" s="317"/>
      <c r="CJ74" s="317"/>
      <c r="CK74" s="317"/>
      <c r="CL74" s="317"/>
      <c r="CM74" s="317"/>
      <c r="CN74" s="317"/>
      <c r="CO74" s="317"/>
      <c r="CP74" s="317"/>
      <c r="CQ74" s="317"/>
      <c r="CX74" s="148"/>
      <c r="CY74" s="148"/>
      <c r="CZ74" s="148"/>
      <c r="DA74" s="148"/>
      <c r="DB74" s="148"/>
      <c r="DC74" s="148"/>
      <c r="DD74" s="148"/>
      <c r="DE74" s="148"/>
      <c r="DF74" s="148"/>
      <c r="DG74" s="148"/>
      <c r="DH74" s="148"/>
      <c r="DI74" s="148"/>
      <c r="DJ74" s="148"/>
      <c r="DK74" s="148"/>
      <c r="DL74" s="148"/>
      <c r="DM74" s="148"/>
      <c r="DN74" s="148"/>
      <c r="DO74" s="148"/>
      <c r="DP74" s="148"/>
      <c r="DQ74" s="148"/>
      <c r="DR74" s="148"/>
      <c r="DS74" s="148"/>
      <c r="DT74" s="148"/>
      <c r="DU74" s="148"/>
      <c r="DV74" s="285"/>
      <c r="DW74" s="148"/>
      <c r="DX74" s="148"/>
      <c r="DY74" s="148"/>
      <c r="DZ74" s="148"/>
      <c r="EA74" s="148"/>
      <c r="EB74" s="148"/>
      <c r="EC74" s="148"/>
      <c r="ED74" s="148"/>
      <c r="EE74" s="148"/>
      <c r="EF74" s="148"/>
      <c r="EG74" s="148"/>
      <c r="ES74" s="101" t="str">
        <f>""</f>
        <v/>
      </c>
      <c r="ET74" s="541"/>
      <c r="EU74" s="541"/>
      <c r="EV74" s="541"/>
      <c r="EW74" s="103" t="str">
        <f ca="1"/>
        <v>-</v>
      </c>
      <c r="EX74" s="104" t="s">
        <v>14</v>
      </c>
      <c r="EY74" s="73" t="s">
        <v>14</v>
      </c>
      <c r="EZ74" s="73"/>
      <c r="FA74" s="18"/>
    </row>
    <row r="75" spans="1:157" s="4" customFormat="1" ht="15.75" hidden="1" customHeight="1" thickBot="1" x14ac:dyDescent="0.3">
      <c r="A75" s="315" t="str">
        <f t="shared" ca="1" si="0"/>
        <v>DS-XL LED Motorised</v>
      </c>
      <c r="B75" s="315"/>
      <c r="C75" s="315"/>
      <c r="D75" s="315"/>
      <c r="E75" s="315"/>
      <c r="F75" s="316"/>
      <c r="G75" s="12">
        <f t="shared" si="1"/>
        <v>17</v>
      </c>
      <c r="H75" s="42">
        <f t="shared" ca="1" si="2"/>
        <v>0</v>
      </c>
      <c r="I75" s="42"/>
      <c r="J75" s="12">
        <v>1</v>
      </c>
      <c r="K75" s="206">
        <f t="shared" si="3"/>
        <v>0</v>
      </c>
      <c r="L75" s="198"/>
      <c r="M75" s="331">
        <v>4</v>
      </c>
      <c r="N75" s="332"/>
      <c r="O75" s="7">
        <v>6</v>
      </c>
      <c r="P75" s="6">
        <v>1</v>
      </c>
      <c r="Q75" s="4">
        <v>1</v>
      </c>
      <c r="R75" s="6">
        <v>1</v>
      </c>
      <c r="S75" s="4">
        <v>1</v>
      </c>
      <c r="T75" s="7"/>
      <c r="U75" s="319">
        <v>6.5</v>
      </c>
      <c r="V75" s="315"/>
      <c r="W75" s="315">
        <v>6.5</v>
      </c>
      <c r="X75" s="315"/>
      <c r="Y75" s="315">
        <v>1</v>
      </c>
      <c r="Z75" s="353"/>
      <c r="AA75"/>
      <c r="AJ75"/>
      <c r="AS75"/>
      <c r="AT75"/>
      <c r="AU75"/>
      <c r="AX75" s="183">
        <v>5</v>
      </c>
      <c r="AY75" s="377">
        <v>1.5</v>
      </c>
      <c r="AZ75" s="378"/>
      <c r="BA75" s="377">
        <v>1.5</v>
      </c>
      <c r="BB75" s="378"/>
      <c r="BC75" s="355">
        <f>E25/2</f>
        <v>0</v>
      </c>
      <c r="BD75" s="356"/>
      <c r="BE75" s="377">
        <v>0</v>
      </c>
      <c r="BF75" s="378"/>
      <c r="BG75" s="570" t="s">
        <v>264</v>
      </c>
      <c r="BH75" s="570"/>
      <c r="BI75" s="570"/>
      <c r="BJ75" s="570"/>
      <c r="BK75" s="570"/>
      <c r="BL75" s="570"/>
      <c r="BM75" s="571"/>
      <c r="BP75" s="369"/>
      <c r="BQ75" s="370"/>
      <c r="BR75" s="369"/>
      <c r="BS75" s="370"/>
      <c r="BT75" s="535"/>
      <c r="BU75" s="536"/>
      <c r="BV75" s="536"/>
      <c r="BW75" s="536"/>
      <c r="BX75" s="536"/>
      <c r="BY75" s="536"/>
      <c r="BZ75" s="536"/>
      <c r="CA75" s="184"/>
      <c r="CH75" s="318"/>
      <c r="CI75" s="318"/>
      <c r="CJ75" s="318"/>
      <c r="CK75" s="318"/>
      <c r="CL75" s="318"/>
      <c r="CM75" s="318"/>
      <c r="CN75" s="318"/>
      <c r="CO75" s="318"/>
      <c r="CP75" s="318"/>
      <c r="CQ75" s="318"/>
      <c r="CR75" s="8"/>
      <c r="CS75" s="8"/>
      <c r="CT75" s="8"/>
      <c r="CX75" s="148"/>
      <c r="CY75" s="148"/>
      <c r="CZ75" s="148"/>
      <c r="DA75" s="148"/>
      <c r="DB75" s="148"/>
      <c r="DC75" s="148"/>
      <c r="DD75" s="148"/>
      <c r="DE75" s="148"/>
      <c r="DF75" s="148"/>
      <c r="DG75" s="148"/>
      <c r="DH75" s="148"/>
      <c r="DI75" s="148"/>
      <c r="DJ75" s="148"/>
      <c r="DK75" s="148"/>
      <c r="DL75" s="148"/>
      <c r="DM75" s="148"/>
      <c r="DN75" s="148"/>
      <c r="DO75" s="148"/>
      <c r="DP75" s="148"/>
      <c r="DQ75" s="148"/>
      <c r="DR75" s="148"/>
      <c r="DS75" s="148"/>
      <c r="DT75" s="148"/>
      <c r="DU75" s="148"/>
      <c r="DV75" s="285"/>
      <c r="DW75" s="148"/>
      <c r="DX75" s="148"/>
      <c r="DY75" s="148"/>
      <c r="DZ75" s="148"/>
      <c r="EA75" s="148"/>
      <c r="EB75" s="148"/>
      <c r="EC75" s="148"/>
      <c r="ED75" s="148"/>
      <c r="EE75" s="148"/>
      <c r="EF75" s="148"/>
      <c r="EG75" s="148"/>
      <c r="ES75" s="101" t="str">
        <f>""</f>
        <v/>
      </c>
      <c r="ET75" s="541"/>
      <c r="EU75" s="541"/>
      <c r="EV75" s="541"/>
      <c r="EW75" s="77" t="str">
        <f ca="1"/>
        <v>-</v>
      </c>
      <c r="EX75" s="58" t="s">
        <v>14</v>
      </c>
      <c r="EY75" s="60" t="s">
        <v>14</v>
      </c>
      <c r="EZ75" s="60"/>
      <c r="FA75" s="65"/>
    </row>
    <row r="76" spans="1:157" s="4" customFormat="1" ht="15" hidden="1" customHeight="1" thickBot="1" x14ac:dyDescent="0.3">
      <c r="A76" s="315" t="str">
        <f t="shared" ca="1" si="0"/>
        <v>FMS Dual</v>
      </c>
      <c r="B76" s="315"/>
      <c r="C76" s="315"/>
      <c r="D76" s="315"/>
      <c r="E76" s="315"/>
      <c r="F76" s="316"/>
      <c r="G76" s="12">
        <f t="shared" si="1"/>
        <v>18</v>
      </c>
      <c r="H76" s="42">
        <f t="shared" ca="1" si="2"/>
        <v>0</v>
      </c>
      <c r="I76" s="42"/>
      <c r="J76" s="12">
        <v>1</v>
      </c>
      <c r="K76" s="206">
        <f t="shared" si="3"/>
        <v>0</v>
      </c>
      <c r="L76" s="198"/>
      <c r="M76" s="331">
        <v>5</v>
      </c>
      <c r="N76" s="332"/>
      <c r="O76" s="7">
        <v>7</v>
      </c>
      <c r="P76" s="6"/>
      <c r="Q76" s="4">
        <v>4</v>
      </c>
      <c r="R76" s="6">
        <v>1</v>
      </c>
      <c r="S76" s="4">
        <v>1</v>
      </c>
      <c r="T76" s="7">
        <v>1</v>
      </c>
      <c r="U76" s="319">
        <v>8.5</v>
      </c>
      <c r="V76" s="315"/>
      <c r="W76" s="315">
        <v>8.5</v>
      </c>
      <c r="X76" s="315"/>
      <c r="Y76" s="315">
        <v>0</v>
      </c>
      <c r="Z76" s="353"/>
      <c r="AA76" s="174"/>
      <c r="AI76" s="323" t="s">
        <v>31</v>
      </c>
      <c r="AJ76" s="324"/>
      <c r="AK76" s="325">
        <f ca="1">OFFSET(AK77,Q57,0,1,1)</f>
        <v>1</v>
      </c>
      <c r="AL76" s="326"/>
      <c r="AM76" s="327" t="s">
        <v>274</v>
      </c>
      <c r="AN76" s="327"/>
      <c r="AO76" s="327"/>
      <c r="AP76" s="327"/>
      <c r="AQ76" s="327"/>
      <c r="AR76" s="327"/>
      <c r="AS76" s="328"/>
      <c r="AT76"/>
      <c r="AU76"/>
      <c r="AV76"/>
      <c r="AW76"/>
      <c r="BW76"/>
      <c r="BX76"/>
      <c r="CA76" s="184"/>
      <c r="CB76"/>
      <c r="CH76" s="306" t="s">
        <v>368</v>
      </c>
      <c r="CI76" s="306"/>
      <c r="CJ76" s="320"/>
      <c r="CK76" s="272">
        <v>1</v>
      </c>
      <c r="CL76" s="306"/>
      <c r="CM76" s="306"/>
      <c r="CN76" s="306"/>
      <c r="CO76" s="306" t="s">
        <v>366</v>
      </c>
      <c r="CP76" s="306"/>
      <c r="CQ76" s="306"/>
      <c r="CR76" s="306" t="s">
        <v>365</v>
      </c>
      <c r="CS76" s="306"/>
      <c r="CT76" s="306"/>
      <c r="CX76" s="148"/>
      <c r="CY76" s="148"/>
      <c r="CZ76" s="148"/>
      <c r="DA76" s="148"/>
      <c r="DB76" s="148"/>
      <c r="DC76" s="148"/>
      <c r="DD76" s="287"/>
      <c r="DE76" s="287"/>
      <c r="DF76" s="287"/>
      <c r="DG76" s="148"/>
      <c r="DH76" s="148"/>
      <c r="DI76" s="148"/>
      <c r="DJ76" s="148"/>
      <c r="DK76" s="148"/>
      <c r="DL76" s="148"/>
      <c r="DM76" s="148"/>
      <c r="DN76" s="148"/>
      <c r="DO76" s="148"/>
      <c r="DP76" s="148"/>
      <c r="DQ76" s="148"/>
      <c r="DR76" s="148"/>
      <c r="DS76" s="287"/>
      <c r="DT76" s="287"/>
      <c r="DU76" s="287"/>
      <c r="DV76" s="285"/>
      <c r="DW76" s="148"/>
      <c r="DX76" s="148"/>
      <c r="DY76" s="148"/>
      <c r="DZ76" s="148"/>
      <c r="EA76" s="148"/>
      <c r="EB76" s="148"/>
      <c r="EC76" s="148"/>
      <c r="ED76" s="148"/>
      <c r="EE76" s="148"/>
      <c r="EF76" s="148"/>
      <c r="EG76" s="148"/>
      <c r="ES76" s="101" t="str">
        <f>""</f>
        <v/>
      </c>
      <c r="ET76" s="541"/>
      <c r="EU76" s="541"/>
      <c r="EV76" s="541"/>
      <c r="EW76" s="78" t="str">
        <f ca="1"/>
        <v>One-way draw &lt;&gt;</v>
      </c>
      <c r="EX76" s="55" t="s">
        <v>9</v>
      </c>
      <c r="EY76" s="57" t="s">
        <v>128</v>
      </c>
      <c r="EZ76" s="57"/>
      <c r="FA76" s="66"/>
    </row>
    <row r="77" spans="1:157" s="4" customFormat="1" ht="15.75" hidden="1" customHeight="1" thickTop="1" thickBot="1" x14ac:dyDescent="0.3">
      <c r="A77" s="315" t="str">
        <f t="shared" ca="1" si="0"/>
        <v>MRS Universal</v>
      </c>
      <c r="B77" s="315"/>
      <c r="C77" s="315"/>
      <c r="D77" s="315"/>
      <c r="E77" s="315"/>
      <c r="F77" s="316"/>
      <c r="G77" s="12">
        <f t="shared" si="1"/>
        <v>19</v>
      </c>
      <c r="H77" s="42">
        <f t="shared" ca="1" si="2"/>
        <v>0</v>
      </c>
      <c r="I77" s="42"/>
      <c r="J77" s="12">
        <v>1</v>
      </c>
      <c r="K77" s="206">
        <f t="shared" si="3"/>
        <v>0</v>
      </c>
      <c r="L77" s="198"/>
      <c r="M77" s="331">
        <v>4</v>
      </c>
      <c r="N77" s="332"/>
      <c r="O77" s="7">
        <v>8</v>
      </c>
      <c r="P77" s="6">
        <v>1</v>
      </c>
      <c r="Q77" s="4">
        <v>1</v>
      </c>
      <c r="R77" s="6">
        <v>1</v>
      </c>
      <c r="S77" s="4">
        <v>1</v>
      </c>
      <c r="T77" s="7"/>
      <c r="U77" s="319">
        <v>0</v>
      </c>
      <c r="V77" s="315"/>
      <c r="W77" s="315">
        <v>0</v>
      </c>
      <c r="X77" s="315"/>
      <c r="Y77" s="315">
        <v>0</v>
      </c>
      <c r="Z77" s="353"/>
      <c r="AA77"/>
      <c r="AI77" s="588">
        <v>0</v>
      </c>
      <c r="AJ77" s="589"/>
      <c r="AK77" s="342">
        <v>0</v>
      </c>
      <c r="AL77" s="343"/>
      <c r="AM77" s="516" t="s">
        <v>271</v>
      </c>
      <c r="AN77" s="516"/>
      <c r="AO77" s="516"/>
      <c r="AP77" s="516"/>
      <c r="AQ77" s="516"/>
      <c r="AR77" s="516"/>
      <c r="AS77" s="517"/>
      <c r="AT77"/>
      <c r="AU77"/>
      <c r="BA77" s="338" t="s">
        <v>321</v>
      </c>
      <c r="BB77" s="339"/>
      <c r="BC77" s="338" t="s">
        <v>322</v>
      </c>
      <c r="BD77" s="339"/>
      <c r="BE77" s="338" t="s">
        <v>323</v>
      </c>
      <c r="BF77" s="339"/>
      <c r="BP77" s="389">
        <f ca="1">IF(AK105=AW107,E27*BP74,ROUNDUP((E27*BP74)/AH104,0))</f>
        <v>224</v>
      </c>
      <c r="BQ77" s="368"/>
      <c r="BR77" s="367">
        <f ca="1">IF(AK105=AW107,E27*BR74,ROUNDUP((E27*BR74)/AH104,0))</f>
        <v>256</v>
      </c>
      <c r="BS77" s="368"/>
      <c r="BT77" s="535" t="s">
        <v>221</v>
      </c>
      <c r="BU77" s="536"/>
      <c r="BV77" s="536"/>
      <c r="BW77" s="536"/>
      <c r="BX77" s="536"/>
      <c r="BY77" s="536"/>
      <c r="BZ77" s="536"/>
      <c r="CH77" s="305" t="s">
        <v>364</v>
      </c>
      <c r="CI77" s="305"/>
      <c r="CJ77" s="305"/>
      <c r="CK77" s="309"/>
      <c r="CL77" s="12" t="str" cm="1">
        <f t="array" aca="1" ref="CL77:CL86" ca="1">OFFSET(CL77:CN86,0,CK76*3,10,1)</f>
        <v>English</v>
      </c>
      <c r="CO77" s="307" t="str">
        <f>A2</f>
        <v>English</v>
      </c>
      <c r="CP77" s="305"/>
      <c r="CQ77" s="305"/>
      <c r="CR77" s="305" t="str">
        <f>'Forest FES-Wave Mobile'!A2</f>
        <v>English</v>
      </c>
      <c r="CS77" s="305"/>
      <c r="CT77" s="305"/>
      <c r="CX77" s="148"/>
      <c r="CY77" s="148"/>
      <c r="CZ77" s="148"/>
      <c r="DA77" s="148"/>
      <c r="DB77" s="148"/>
      <c r="DC77" s="148"/>
      <c r="DD77" s="287"/>
      <c r="DE77" s="287"/>
      <c r="DF77" s="287"/>
      <c r="DG77" s="148"/>
      <c r="DH77" s="148"/>
      <c r="DI77" s="148"/>
      <c r="DJ77" s="148"/>
      <c r="DK77" s="148"/>
      <c r="DL77" s="148"/>
      <c r="DM77" s="148"/>
      <c r="DN77" s="148"/>
      <c r="DO77" s="148"/>
      <c r="DP77" s="148"/>
      <c r="DQ77" s="148"/>
      <c r="DR77" s="148"/>
      <c r="DS77" s="287"/>
      <c r="DT77" s="287"/>
      <c r="DU77" s="287"/>
      <c r="DV77" s="285"/>
      <c r="DW77" s="148"/>
      <c r="DX77" s="148"/>
      <c r="DY77" s="148"/>
      <c r="DZ77" s="148"/>
      <c r="EA77" s="148"/>
      <c r="EB77" s="148"/>
      <c r="EC77" s="148"/>
      <c r="ED77" s="148"/>
      <c r="EE77" s="148"/>
      <c r="EF77" s="148"/>
      <c r="EG77" s="148"/>
      <c r="ES77" s="101" t="str">
        <f>""</f>
        <v/>
      </c>
      <c r="ET77" s="541"/>
      <c r="EU77" s="541"/>
      <c r="EV77" s="541"/>
      <c r="EW77" s="77" t="str">
        <f ca="1"/>
        <v xml:space="preserve">Center closing   = </v>
      </c>
      <c r="EX77" s="58" t="s">
        <v>10</v>
      </c>
      <c r="EY77" s="60" t="s">
        <v>165</v>
      </c>
      <c r="EZ77" s="60"/>
      <c r="FA77" s="65"/>
    </row>
    <row r="78" spans="1:157" s="4" customFormat="1" ht="15.75" hidden="1" customHeight="1" thickBot="1" x14ac:dyDescent="0.3">
      <c r="A78" s="315" t="str">
        <f t="shared" ca="1" si="0"/>
        <v>CS Recess</v>
      </c>
      <c r="B78" s="315"/>
      <c r="C78" s="315"/>
      <c r="D78" s="315"/>
      <c r="E78" s="315"/>
      <c r="F78" s="316"/>
      <c r="G78" s="12">
        <f>G77+1</f>
        <v>20</v>
      </c>
      <c r="H78" s="42">
        <f t="shared" ca="1" si="2"/>
        <v>0</v>
      </c>
      <c r="I78" s="178"/>
      <c r="J78" s="12">
        <v>2</v>
      </c>
      <c r="K78" s="206">
        <f t="shared" si="3"/>
        <v>1</v>
      </c>
      <c r="L78" s="198"/>
      <c r="M78" s="331">
        <v>5</v>
      </c>
      <c r="N78" s="332"/>
      <c r="O78" s="7"/>
      <c r="P78" s="6"/>
      <c r="R78" s="6">
        <v>1</v>
      </c>
      <c r="S78" s="4">
        <v>1</v>
      </c>
      <c r="T78" s="7">
        <v>1</v>
      </c>
      <c r="U78" s="319">
        <v>3</v>
      </c>
      <c r="V78" s="315"/>
      <c r="W78" s="315">
        <v>3</v>
      </c>
      <c r="X78" s="315"/>
      <c r="Y78" s="315">
        <v>0</v>
      </c>
      <c r="Z78" s="353"/>
      <c r="AA78"/>
      <c r="AI78" s="342">
        <v>1</v>
      </c>
      <c r="AJ78" s="343"/>
      <c r="AK78" s="342">
        <f ca="1">IF(CL83=AW109,1,2)</f>
        <v>1</v>
      </c>
      <c r="AL78" s="343"/>
      <c r="AM78" s="321" t="s">
        <v>273</v>
      </c>
      <c r="AN78" s="321"/>
      <c r="AO78" s="321"/>
      <c r="AP78" s="321"/>
      <c r="AQ78" s="321"/>
      <c r="AR78" s="321"/>
      <c r="AS78" s="322"/>
      <c r="AT78"/>
      <c r="AU78"/>
      <c r="AW78" s="323" t="s">
        <v>43</v>
      </c>
      <c r="AX78" s="324"/>
      <c r="AY78" s="325">
        <f ca="1">SUM(AY79:AZ81)</f>
        <v>1.05</v>
      </c>
      <c r="AZ78" s="326"/>
      <c r="BA78" s="325">
        <f ca="1">IF(SUM(BA79:BA81)&gt;0,1,0)</f>
        <v>1</v>
      </c>
      <c r="BB78" s="326"/>
      <c r="BC78" s="325">
        <f ca="1">IF(SUM(BC79:BC81)&gt;0,1,0)</f>
        <v>1</v>
      </c>
      <c r="BD78" s="326"/>
      <c r="BE78" s="325">
        <f ca="1">IF(SUM(BE79:BE81)&gt;0,1,0)</f>
        <v>1</v>
      </c>
      <c r="BF78" s="326"/>
      <c r="BG78" s="327" t="s">
        <v>229</v>
      </c>
      <c r="BH78" s="327"/>
      <c r="BI78" s="327"/>
      <c r="BJ78" s="327"/>
      <c r="BK78" s="327"/>
      <c r="BL78" s="327"/>
      <c r="BM78" s="328"/>
      <c r="BP78" s="369"/>
      <c r="BQ78" s="370"/>
      <c r="BR78" s="369"/>
      <c r="BS78" s="370"/>
      <c r="BT78" s="535"/>
      <c r="BU78" s="536"/>
      <c r="BV78" s="536"/>
      <c r="BW78" s="536"/>
      <c r="BX78" s="536"/>
      <c r="BY78" s="536"/>
      <c r="BZ78" s="536"/>
      <c r="CH78" s="305" t="s">
        <v>364</v>
      </c>
      <c r="CI78" s="305"/>
      <c r="CJ78" s="305"/>
      <c r="CK78" s="309"/>
      <c r="CL78" s="12" t="str">
        <f ca="1"/>
        <v>FMS (Shuttle)</v>
      </c>
      <c r="CO78" s="307" t="str">
        <f>E11</f>
        <v>FMS (Shuttle)</v>
      </c>
      <c r="CP78" s="305"/>
      <c r="CQ78" s="305"/>
      <c r="CR78" s="305" t="str">
        <f>'Forest FES-Wave Mobile'!D8</f>
        <v>FMS (Shuttle)</v>
      </c>
      <c r="CS78" s="305"/>
      <c r="CT78" s="305"/>
      <c r="CX78" s="148"/>
      <c r="CY78" s="148"/>
      <c r="CZ78" s="148"/>
      <c r="DA78" s="148"/>
      <c r="DB78" s="148"/>
      <c r="DC78" s="148"/>
      <c r="DD78" s="148"/>
      <c r="DE78" s="148"/>
      <c r="DF78" s="148"/>
      <c r="DG78" s="148"/>
      <c r="DH78" s="148"/>
      <c r="DI78" s="148"/>
      <c r="DJ78" s="148"/>
      <c r="DK78" s="148"/>
      <c r="DL78" s="148"/>
      <c r="DM78" s="148"/>
      <c r="DN78" s="148"/>
      <c r="DO78" s="148"/>
      <c r="DP78" s="148"/>
      <c r="DQ78" s="148"/>
      <c r="DR78" s="148"/>
      <c r="DS78" s="148"/>
      <c r="DT78" s="148"/>
      <c r="DU78" s="148"/>
      <c r="DV78" s="285"/>
      <c r="DW78" s="148"/>
      <c r="DX78" s="148"/>
      <c r="DY78" s="148"/>
      <c r="DZ78" s="148"/>
      <c r="EA78" s="148"/>
      <c r="EB78" s="148"/>
      <c r="EC78" s="148"/>
      <c r="ED78" s="148"/>
      <c r="EE78" s="148"/>
      <c r="EF78" s="148"/>
      <c r="EG78" s="148"/>
      <c r="ES78" s="101" t="str">
        <f>""</f>
        <v/>
      </c>
      <c r="ET78" s="541"/>
      <c r="EU78" s="541"/>
      <c r="EV78" s="541"/>
      <c r="EW78" s="78" t="str">
        <f ca="1"/>
        <v xml:space="preserve">Master type     = </v>
      </c>
      <c r="EX78" s="55" t="s">
        <v>331</v>
      </c>
      <c r="EY78" s="57" t="s">
        <v>339</v>
      </c>
      <c r="EZ78" s="57"/>
      <c r="FA78" s="66"/>
    </row>
    <row r="79" spans="1:157" s="4" customFormat="1" ht="16.5" hidden="1" customHeight="1" thickTop="1" x14ac:dyDescent="0.25">
      <c r="A79" s="315" t="str">
        <f t="shared" ca="1" si="0"/>
        <v>CRS Square 30</v>
      </c>
      <c r="B79" s="315"/>
      <c r="C79" s="315"/>
      <c r="D79" s="315"/>
      <c r="E79" s="315"/>
      <c r="F79" s="315"/>
      <c r="G79" s="12">
        <f>G78+1</f>
        <v>21</v>
      </c>
      <c r="H79" s="42">
        <f t="shared" ca="1" si="2"/>
        <v>0</v>
      </c>
      <c r="I79" s="178"/>
      <c r="J79" s="12">
        <v>2</v>
      </c>
      <c r="K79" s="206">
        <f t="shared" si="3"/>
        <v>1</v>
      </c>
      <c r="L79" s="198"/>
      <c r="M79" s="331">
        <v>4</v>
      </c>
      <c r="N79" s="332"/>
      <c r="O79" s="7"/>
      <c r="P79" s="6"/>
      <c r="R79" s="6">
        <v>1</v>
      </c>
      <c r="S79" s="4">
        <v>1</v>
      </c>
      <c r="T79" s="7">
        <v>1</v>
      </c>
      <c r="U79" s="319">
        <v>1.57</v>
      </c>
      <c r="V79" s="315"/>
      <c r="W79" s="315">
        <v>0.5</v>
      </c>
      <c r="X79" s="315"/>
      <c r="Y79" s="315">
        <v>0</v>
      </c>
      <c r="Z79" s="353"/>
      <c r="AA79"/>
      <c r="AI79" s="342">
        <v>2</v>
      </c>
      <c r="AJ79" s="343"/>
      <c r="AK79" s="342">
        <f ca="1">IF(CL82=$AW$106,3,4)</f>
        <v>4</v>
      </c>
      <c r="AL79" s="343"/>
      <c r="AM79" s="321" t="s">
        <v>272</v>
      </c>
      <c r="AN79" s="321"/>
      <c r="AO79" s="321"/>
      <c r="AP79" s="321"/>
      <c r="AQ79" s="321"/>
      <c r="AR79" s="321"/>
      <c r="AS79" s="322"/>
      <c r="AT79"/>
      <c r="AU79"/>
      <c r="AV79" s="4" t="s">
        <v>39</v>
      </c>
      <c r="AW79" s="331">
        <v>1.05</v>
      </c>
      <c r="AX79" s="332"/>
      <c r="AY79" s="520">
        <f ca="1">IF(CL80=AW100,AW79,0)</f>
        <v>1.05</v>
      </c>
      <c r="AZ79" s="521"/>
      <c r="BA79" s="238">
        <f ca="1">IF($AY$79&gt;0,BB79,0)</f>
        <v>1</v>
      </c>
      <c r="BB79" s="237">
        <v>1</v>
      </c>
      <c r="BC79" s="238">
        <f ca="1">IF($AY$79&gt;0,BD79,0)</f>
        <v>1</v>
      </c>
      <c r="BD79" s="237">
        <v>1</v>
      </c>
      <c r="BE79" s="238">
        <f ca="1">IF($AY$79&gt;0,BF79,0)</f>
        <v>1</v>
      </c>
      <c r="BF79" s="185">
        <v>1</v>
      </c>
      <c r="BG79" s="515" t="s">
        <v>223</v>
      </c>
      <c r="BH79" s="516"/>
      <c r="BI79" s="516"/>
      <c r="BJ79" s="516"/>
      <c r="BK79" s="516"/>
      <c r="BL79" s="516"/>
      <c r="BM79" s="517"/>
      <c r="CH79" s="305" t="s">
        <v>369</v>
      </c>
      <c r="CI79" s="305"/>
      <c r="CJ79" s="305"/>
      <c r="CK79" s="309"/>
      <c r="CL79" s="12">
        <f ca="1"/>
        <v>100</v>
      </c>
      <c r="CO79" s="307">
        <f>E13</f>
        <v>100</v>
      </c>
      <c r="CP79" s="305"/>
      <c r="CQ79" s="305"/>
      <c r="CR79" s="308">
        <f>'Forest FES-Wave Mobile'!D10</f>
        <v>100</v>
      </c>
      <c r="CS79" s="305"/>
      <c r="CT79" s="305"/>
      <c r="CX79" s="148"/>
      <c r="CY79" s="148"/>
      <c r="CZ79" s="148"/>
      <c r="DA79" s="148"/>
      <c r="DB79" s="148"/>
      <c r="DC79" s="148"/>
      <c r="DD79" s="148"/>
      <c r="DE79" s="148"/>
      <c r="DF79" s="148"/>
      <c r="DG79" s="148"/>
      <c r="DH79" s="148"/>
      <c r="DI79" s="148"/>
      <c r="DJ79" s="148"/>
      <c r="DK79" s="148"/>
      <c r="DL79" s="148"/>
      <c r="DM79" s="148"/>
      <c r="DN79" s="148"/>
      <c r="DO79" s="148"/>
      <c r="DP79" s="148"/>
      <c r="DQ79" s="148"/>
      <c r="DR79" s="148"/>
      <c r="DS79" s="148"/>
      <c r="DT79" s="148"/>
      <c r="DU79" s="148"/>
      <c r="DV79" s="285"/>
      <c r="DW79" s="148"/>
      <c r="DX79" s="148"/>
      <c r="DY79" s="148"/>
      <c r="DZ79" s="148"/>
      <c r="EA79" s="148"/>
      <c r="EB79" s="148"/>
      <c r="EC79" s="148"/>
      <c r="ED79" s="148"/>
      <c r="EE79" s="148"/>
      <c r="EF79" s="148"/>
      <c r="EG79" s="148"/>
      <c r="ES79" s="101" t="str">
        <f>""</f>
        <v/>
      </c>
      <c r="ET79" s="541"/>
      <c r="EU79" s="541"/>
      <c r="EV79" s="541"/>
      <c r="EW79" s="77" t="str">
        <f ca="1"/>
        <v>-</v>
      </c>
      <c r="EX79" s="58" t="s">
        <v>14</v>
      </c>
      <c r="EY79" s="60" t="s">
        <v>14</v>
      </c>
      <c r="EZ79" s="60"/>
      <c r="FA79" s="65"/>
    </row>
    <row r="80" spans="1:157" s="4" customFormat="1" ht="15.75" hidden="1" thickBot="1" x14ac:dyDescent="0.3">
      <c r="A80" s="315" t="str">
        <f t="shared" ca="1" si="0"/>
        <v>CRS Rectangular 45</v>
      </c>
      <c r="B80" s="315"/>
      <c r="C80" s="315"/>
      <c r="D80" s="315"/>
      <c r="E80" s="315"/>
      <c r="F80" s="315"/>
      <c r="G80" s="12">
        <f>G79+1</f>
        <v>22</v>
      </c>
      <c r="H80" s="42">
        <f t="shared" ca="1" si="2"/>
        <v>0</v>
      </c>
      <c r="I80" s="178"/>
      <c r="J80" s="12">
        <v>2</v>
      </c>
      <c r="K80" s="206">
        <f t="shared" si="3"/>
        <v>1</v>
      </c>
      <c r="L80" s="198"/>
      <c r="M80" s="331">
        <v>4</v>
      </c>
      <c r="N80" s="332"/>
      <c r="O80" s="235"/>
      <c r="P80" s="6"/>
      <c r="R80" s="6">
        <v>1</v>
      </c>
      <c r="S80" s="4">
        <v>1</v>
      </c>
      <c r="T80" s="7">
        <v>1</v>
      </c>
      <c r="U80" s="319">
        <v>1.57</v>
      </c>
      <c r="V80" s="315"/>
      <c r="W80" s="315">
        <v>0.5</v>
      </c>
      <c r="X80" s="315"/>
      <c r="Y80" s="315">
        <v>0</v>
      </c>
      <c r="Z80" s="353"/>
      <c r="AA80"/>
      <c r="AI80" s="342">
        <v>3</v>
      </c>
      <c r="AJ80" s="343"/>
      <c r="AK80" s="342">
        <v>1</v>
      </c>
      <c r="AL80" s="343"/>
      <c r="AM80" s="321" t="s">
        <v>275</v>
      </c>
      <c r="AN80" s="321"/>
      <c r="AO80" s="321"/>
      <c r="AP80" s="321"/>
      <c r="AQ80" s="321"/>
      <c r="AR80" s="321"/>
      <c r="AS80" s="322"/>
      <c r="AT80"/>
      <c r="AU80"/>
      <c r="AV80" s="4" t="s">
        <v>40</v>
      </c>
      <c r="AW80" s="331">
        <v>1.38</v>
      </c>
      <c r="AX80" s="332"/>
      <c r="AY80" s="520">
        <f ca="1">IF(CL80=AW101,AW80,0)</f>
        <v>0</v>
      </c>
      <c r="AZ80" s="521"/>
      <c r="BA80" s="239">
        <f ca="1">IF($AY$80&gt;0,BB80,0)</f>
        <v>0</v>
      </c>
      <c r="BB80" s="185">
        <v>1</v>
      </c>
      <c r="BC80" s="239">
        <f ca="1">IF($AY$80&gt;0,BD80,0)</f>
        <v>0</v>
      </c>
      <c r="BD80" s="185">
        <v>1</v>
      </c>
      <c r="BE80" s="239">
        <f ca="1">IF($AY$80&gt;0,BF80,0)</f>
        <v>0</v>
      </c>
      <c r="BF80" s="185">
        <v>1</v>
      </c>
      <c r="BG80" s="337" t="s">
        <v>224</v>
      </c>
      <c r="BH80" s="321"/>
      <c r="BI80" s="321"/>
      <c r="BJ80" s="321"/>
      <c r="BK80" s="321"/>
      <c r="BL80" s="321"/>
      <c r="BM80" s="322"/>
      <c r="BP80" s="50"/>
      <c r="BQ80" s="50"/>
      <c r="BR80" s="50"/>
      <c r="BS80" s="50"/>
      <c r="BT80" s="1"/>
      <c r="BU80" s="1"/>
      <c r="BV80" s="1"/>
      <c r="BW80" s="1"/>
      <c r="BX80" s="1"/>
      <c r="BY80" s="1"/>
      <c r="BZ80" s="1"/>
      <c r="CH80" s="305" t="s">
        <v>209</v>
      </c>
      <c r="CI80" s="305"/>
      <c r="CJ80" s="305"/>
      <c r="CK80" s="309"/>
      <c r="CL80" s="12" t="str">
        <f ca="1"/>
        <v>Easywave</v>
      </c>
      <c r="CO80" s="307" t="str">
        <f>E15</f>
        <v>Easywave</v>
      </c>
      <c r="CP80" s="305"/>
      <c r="CQ80" s="305"/>
      <c r="CR80" s="308" t="str">
        <f>'Forest FES-Wave Mobile'!D12</f>
        <v>Easywave</v>
      </c>
      <c r="CS80" s="305"/>
      <c r="CT80" s="305"/>
      <c r="CX80" s="148"/>
      <c r="CY80" s="148"/>
      <c r="CZ80" s="148"/>
      <c r="DA80" s="148"/>
      <c r="DB80" s="148"/>
      <c r="DC80" s="148"/>
      <c r="DD80" s="148"/>
      <c r="DE80" s="148"/>
      <c r="DF80" s="148"/>
      <c r="DG80" s="148"/>
      <c r="DH80" s="148"/>
      <c r="DI80" s="148"/>
      <c r="DJ80" s="148"/>
      <c r="DK80" s="148"/>
      <c r="DL80" s="148"/>
      <c r="DM80" s="148"/>
      <c r="DN80" s="148"/>
      <c r="DO80" s="148"/>
      <c r="DP80" s="148"/>
      <c r="DQ80" s="148"/>
      <c r="DR80" s="148"/>
      <c r="DS80" s="148"/>
      <c r="DT80" s="148"/>
      <c r="DU80" s="148"/>
      <c r="DV80" s="148"/>
      <c r="DW80" s="148"/>
      <c r="DX80" s="148"/>
      <c r="DY80" s="148"/>
      <c r="DZ80" s="148"/>
      <c r="EA80" s="148"/>
      <c r="EB80" s="148"/>
      <c r="EC80" s="148"/>
      <c r="ED80" s="148"/>
      <c r="EE80" s="148"/>
      <c r="EF80" s="148"/>
      <c r="EG80" s="148"/>
      <c r="ES80" s="101" t="str">
        <f>""</f>
        <v/>
      </c>
      <c r="ET80" s="541"/>
      <c r="EU80" s="541"/>
      <c r="EV80" s="541"/>
      <c r="EW80" s="78" t="str">
        <f ca="1"/>
        <v>Distance overlap</v>
      </c>
      <c r="EX80" s="55" t="s">
        <v>174</v>
      </c>
      <c r="EY80" s="72" t="s">
        <v>176</v>
      </c>
      <c r="EZ80" s="57"/>
      <c r="FA80" s="66"/>
    </row>
    <row r="81" spans="1:157" s="4" customFormat="1" ht="15.75" hidden="1" customHeight="1" thickBot="1" x14ac:dyDescent="0.3">
      <c r="A81" s="10"/>
      <c r="B81" s="10"/>
      <c r="AI81" s="355">
        <v>4</v>
      </c>
      <c r="AJ81" s="356"/>
      <c r="AK81" s="355">
        <v>5</v>
      </c>
      <c r="AL81" s="356"/>
      <c r="AM81" s="351" t="s">
        <v>30</v>
      </c>
      <c r="AN81" s="351"/>
      <c r="AO81" s="351"/>
      <c r="AP81" s="351"/>
      <c r="AQ81" s="351"/>
      <c r="AR81" s="351"/>
      <c r="AS81" s="352"/>
      <c r="AV81" s="4" t="s">
        <v>41</v>
      </c>
      <c r="AW81" s="377">
        <v>1.25</v>
      </c>
      <c r="AX81" s="378"/>
      <c r="AY81" s="333">
        <f ca="1">IF(CL80=AW102,AW81,0)</f>
        <v>0</v>
      </c>
      <c r="AZ81" s="334"/>
      <c r="BA81" s="240">
        <f ca="1">IF($AY$81&gt;0,BB81,0)</f>
        <v>0</v>
      </c>
      <c r="BB81" s="236">
        <v>0</v>
      </c>
      <c r="BC81" s="240">
        <f ca="1">IF($AY$81&gt;0,BD81,0)</f>
        <v>0</v>
      </c>
      <c r="BD81" s="236">
        <v>1</v>
      </c>
      <c r="BE81" s="240">
        <f ca="1">IF($AY$81&gt;0,BF81,0)</f>
        <v>0</v>
      </c>
      <c r="BF81" s="236">
        <v>1</v>
      </c>
      <c r="BG81" s="436" t="s">
        <v>277</v>
      </c>
      <c r="BH81" s="351"/>
      <c r="BI81" s="351"/>
      <c r="BJ81" s="351"/>
      <c r="BK81" s="351"/>
      <c r="BL81" s="351"/>
      <c r="BM81" s="352"/>
      <c r="BP81" s="371">
        <f ca="1">IF(CL82=AW106,BP63/2,BP63)</f>
        <v>100</v>
      </c>
      <c r="BQ81" s="537"/>
      <c r="BR81" s="371">
        <f ca="1">IF(CL82=AW106,BR63/2,BR63)</f>
        <v>100</v>
      </c>
      <c r="BS81" s="372"/>
      <c r="BT81" s="546" t="str">
        <f ca="1">IF(CL82=AW106,"/2","…")</f>
        <v>…</v>
      </c>
      <c r="BU81" s="547"/>
      <c r="BV81" s="548" t="str">
        <f ca="1">IF(CL82=AW106,EY107,EY108)</f>
        <v>Enkelpakket</v>
      </c>
      <c r="BW81" s="548"/>
      <c r="BX81" s="548"/>
      <c r="BY81" s="548"/>
      <c r="BZ81" s="548"/>
      <c r="CH81" s="305" t="s">
        <v>370</v>
      </c>
      <c r="CI81" s="305"/>
      <c r="CJ81" s="305"/>
      <c r="CK81" s="309"/>
      <c r="CL81" s="273" t="str">
        <f ca="1"/>
        <v>8 cm (60%)</v>
      </c>
      <c r="CO81" s="314" t="str">
        <f>E17</f>
        <v>8 cm (60%)</v>
      </c>
      <c r="CP81" s="305"/>
      <c r="CQ81" s="305"/>
      <c r="CR81" s="308" t="str">
        <f>'Forest FES-Wave Mobile'!D14</f>
        <v>8 cm (60%)</v>
      </c>
      <c r="CS81" s="305"/>
      <c r="CT81" s="305"/>
      <c r="CX81" s="148"/>
      <c r="CY81" s="148"/>
      <c r="CZ81" s="148"/>
      <c r="DA81" s="148"/>
      <c r="DB81" s="148"/>
      <c r="DC81" s="148"/>
      <c r="DD81" s="148"/>
      <c r="DE81" s="148"/>
      <c r="DF81" s="148"/>
      <c r="DG81" s="148"/>
      <c r="DH81" s="148"/>
      <c r="DI81" s="148"/>
      <c r="DJ81" s="148"/>
      <c r="DK81" s="148"/>
      <c r="DL81" s="148"/>
      <c r="DM81" s="148"/>
      <c r="DN81" s="148"/>
      <c r="DO81" s="148"/>
      <c r="DP81" s="148"/>
      <c r="DQ81" s="148"/>
      <c r="DR81" s="148"/>
      <c r="DS81" s="148"/>
      <c r="DT81" s="148"/>
      <c r="DU81" s="148"/>
      <c r="DV81" s="148"/>
      <c r="DW81" s="148"/>
      <c r="DX81" s="148"/>
      <c r="DY81" s="148"/>
      <c r="DZ81" s="148"/>
      <c r="EA81" s="148"/>
      <c r="EB81" s="148"/>
      <c r="EC81" s="148"/>
      <c r="ED81" s="148"/>
      <c r="EE81" s="148"/>
      <c r="EF81" s="148"/>
      <c r="EG81" s="148"/>
      <c r="ES81" s="101" t="str">
        <f>""</f>
        <v/>
      </c>
      <c r="ET81" s="541"/>
      <c r="EU81" s="541"/>
      <c r="EV81" s="541"/>
      <c r="EW81" s="77" t="str">
        <f ca="1"/>
        <v xml:space="preserve">in cm           = </v>
      </c>
      <c r="EX81" s="64" t="s">
        <v>175</v>
      </c>
      <c r="EY81" s="86" t="s">
        <v>175</v>
      </c>
      <c r="EZ81" s="60"/>
      <c r="FA81" s="65"/>
    </row>
    <row r="82" spans="1:157" s="4" customFormat="1" ht="15.75" hidden="1" thickBot="1" x14ac:dyDescent="0.3">
      <c r="M82" s="4">
        <v>0</v>
      </c>
      <c r="N82" s="4" t="s">
        <v>328</v>
      </c>
      <c r="Z82"/>
      <c r="AA82"/>
      <c r="AB82"/>
      <c r="AC82"/>
      <c r="AD82"/>
      <c r="AE82"/>
      <c r="AF82"/>
      <c r="AG82"/>
      <c r="AH82"/>
      <c r="AI82"/>
      <c r="AL82"/>
      <c r="AM82"/>
      <c r="AN82"/>
      <c r="BP82" s="367">
        <f ca="1">BP77/BP81*100</f>
        <v>224.00000000000003</v>
      </c>
      <c r="BQ82" s="368"/>
      <c r="BR82" s="367">
        <f ca="1">BR77/BR81*100</f>
        <v>256</v>
      </c>
      <c r="BS82" s="368"/>
      <c r="BT82" s="535" t="s">
        <v>144</v>
      </c>
      <c r="BU82" s="536"/>
      <c r="BV82" s="536"/>
      <c r="BW82" s="536"/>
      <c r="BX82" s="536"/>
      <c r="BY82" s="536"/>
      <c r="BZ82" s="536"/>
      <c r="CH82" s="305" t="s">
        <v>371</v>
      </c>
      <c r="CI82" s="305"/>
      <c r="CJ82" s="305"/>
      <c r="CK82" s="309"/>
      <c r="CL82" s="12" t="str">
        <f ca="1"/>
        <v>One-way draw</v>
      </c>
      <c r="CO82" s="307" t="str">
        <f>E19</f>
        <v>One-way draw</v>
      </c>
      <c r="CP82" s="305"/>
      <c r="CQ82" s="305"/>
      <c r="CR82" s="308" t="str">
        <f>'Forest FES-Wave Mobile'!D16</f>
        <v>One-way draw</v>
      </c>
      <c r="CS82" s="305"/>
      <c r="CT82" s="305"/>
      <c r="CX82" s="148"/>
      <c r="CY82" s="148"/>
      <c r="CZ82" s="148"/>
      <c r="DA82" s="148"/>
      <c r="DB82" s="148"/>
      <c r="DC82" s="148"/>
      <c r="DD82" s="148"/>
      <c r="DE82" s="148"/>
      <c r="DF82" s="148"/>
      <c r="DG82" s="148"/>
      <c r="DH82" s="148"/>
      <c r="DI82" s="148"/>
      <c r="DJ82" s="148"/>
      <c r="DK82" s="148"/>
      <c r="DL82" s="148"/>
      <c r="DM82" s="148"/>
      <c r="DN82" s="148"/>
      <c r="DO82" s="148"/>
      <c r="DP82" s="148"/>
      <c r="DQ82" s="148"/>
      <c r="DR82" s="148"/>
      <c r="DS82" s="148"/>
      <c r="DT82" s="148"/>
      <c r="DU82" s="148"/>
      <c r="DV82" s="148"/>
      <c r="DW82" s="148"/>
      <c r="DX82" s="148"/>
      <c r="DY82" s="148"/>
      <c r="DZ82" s="148"/>
      <c r="EA82" s="148"/>
      <c r="EB82" s="148"/>
      <c r="EC82" s="148"/>
      <c r="ED82" s="148"/>
      <c r="EE82" s="148"/>
      <c r="EF82" s="148"/>
      <c r="EG82" s="148"/>
      <c r="ES82" s="101" t="str">
        <f>""</f>
        <v/>
      </c>
      <c r="ET82" s="541"/>
      <c r="EU82" s="541"/>
      <c r="EV82" s="541"/>
      <c r="EW82" s="78" t="str">
        <f ca="1"/>
        <v>Asymmetrical</v>
      </c>
      <c r="EX82" s="55" t="s">
        <v>90</v>
      </c>
      <c r="EY82" s="57" t="s">
        <v>129</v>
      </c>
      <c r="EZ82" s="57"/>
      <c r="FA82" s="66"/>
    </row>
    <row r="83" spans="1:157" s="4" customFormat="1" ht="15.75" hidden="1" thickBot="1" x14ac:dyDescent="0.3">
      <c r="M83" s="4">
        <v>1</v>
      </c>
      <c r="N83" s="10" t="s">
        <v>252</v>
      </c>
      <c r="U83" s="10"/>
      <c r="V83" s="10"/>
      <c r="AE83" s="175"/>
      <c r="AF83" s="175"/>
      <c r="AG83" s="175"/>
      <c r="AH83" s="175"/>
      <c r="AI83" s="221"/>
      <c r="AJ83" s="422" t="s">
        <v>295</v>
      </c>
      <c r="AK83" s="344"/>
      <c r="AL83" s="425" t="s">
        <v>296</v>
      </c>
      <c r="AM83" s="425"/>
      <c r="AN83" s="344" t="s">
        <v>297</v>
      </c>
      <c r="AO83" s="344"/>
      <c r="AP83" s="221"/>
      <c r="AQ83" s="222"/>
      <c r="AR83" s="222"/>
      <c r="AS83" s="223"/>
      <c r="AT83" s="224"/>
      <c r="AY83" s="602" t="s">
        <v>42</v>
      </c>
      <c r="AZ83" s="604"/>
      <c r="BA83" s="325">
        <f ca="1">OFFSET(BA85,M57,0,1,1)</f>
        <v>1.2</v>
      </c>
      <c r="BB83" s="326"/>
      <c r="BC83" s="325">
        <f ca="1">IF(N57=0,BA83,OFFSET(BC85,N57,0,1,1))</f>
        <v>1.2</v>
      </c>
      <c r="BD83" s="326"/>
      <c r="BE83" s="193">
        <f ca="1">OFFSET(BE85,M57,0,1,1)</f>
        <v>0</v>
      </c>
      <c r="BF83" s="194">
        <f ca="1">OFFSET(BE85,N57,0,1,1)</f>
        <v>0</v>
      </c>
      <c r="BG83" s="602" t="s">
        <v>251</v>
      </c>
      <c r="BH83" s="603"/>
      <c r="BI83" s="603"/>
      <c r="BJ83" s="603"/>
      <c r="BK83" s="603"/>
      <c r="BL83" s="603"/>
      <c r="BM83" s="604"/>
      <c r="BP83" s="369"/>
      <c r="BQ83" s="370"/>
      <c r="BR83" s="369"/>
      <c r="BS83" s="370"/>
      <c r="BT83" s="535"/>
      <c r="BU83" s="536"/>
      <c r="BV83" s="536"/>
      <c r="BW83" s="536"/>
      <c r="BX83" s="536"/>
      <c r="BY83" s="536"/>
      <c r="BZ83" s="536"/>
      <c r="CH83" s="305" t="s">
        <v>212</v>
      </c>
      <c r="CI83" s="305"/>
      <c r="CJ83" s="305"/>
      <c r="CK83" s="309"/>
      <c r="CL83" s="12" t="str">
        <f ca="1"/>
        <v>Steel</v>
      </c>
      <c r="CO83" s="314" t="str">
        <f>E21</f>
        <v>Steel</v>
      </c>
      <c r="CP83" s="305"/>
      <c r="CQ83" s="305"/>
      <c r="CR83" s="308" t="str">
        <f>'Forest FES-Wave Mobile'!D18</f>
        <v>Steel</v>
      </c>
      <c r="CS83" s="305"/>
      <c r="CT83" s="305"/>
      <c r="DA83" s="148"/>
      <c r="DB83" s="148"/>
      <c r="DC83" s="148"/>
      <c r="DD83" s="148"/>
      <c r="DE83" s="148"/>
      <c r="DF83" s="148"/>
      <c r="DG83" s="148"/>
      <c r="DH83" s="148"/>
      <c r="DI83" s="148"/>
      <c r="DJ83" s="148"/>
      <c r="DK83" s="148"/>
      <c r="DL83" s="148"/>
      <c r="DM83" s="148"/>
      <c r="DN83" s="148"/>
      <c r="DP83" s="280"/>
      <c r="DQ83" s="280"/>
      <c r="DR83" s="280"/>
      <c r="DS83" s="280"/>
      <c r="DT83" s="280"/>
      <c r="DU83" s="280"/>
      <c r="DV83" s="280"/>
      <c r="DW83" s="280"/>
      <c r="DX83" s="280"/>
      <c r="DY83" s="280"/>
      <c r="DZ83" s="280"/>
      <c r="EA83" s="280"/>
      <c r="EB83" s="280"/>
      <c r="EC83" s="280"/>
      <c r="ES83" s="101" t="str">
        <f>""</f>
        <v/>
      </c>
      <c r="ET83" s="541"/>
      <c r="EU83" s="541"/>
      <c r="EV83" s="541"/>
      <c r="EW83" s="77" t="str">
        <f ca="1"/>
        <v xml:space="preserve">curtain in cm***= </v>
      </c>
      <c r="EX83" s="58" t="s">
        <v>346</v>
      </c>
      <c r="EY83" s="60" t="s">
        <v>164</v>
      </c>
      <c r="EZ83" s="60"/>
      <c r="FA83" s="65"/>
    </row>
    <row r="84" spans="1:157" s="4" customFormat="1" ht="15" hidden="1" customHeight="1" thickTop="1" thickBot="1" x14ac:dyDescent="0.3">
      <c r="M84" s="4">
        <v>2</v>
      </c>
      <c r="N84" s="4" t="s">
        <v>253</v>
      </c>
      <c r="T84" s="10"/>
      <c r="AE84" s="175"/>
      <c r="AF84" s="175"/>
      <c r="AG84" s="175"/>
      <c r="AH84" s="175"/>
      <c r="AI84" s="225"/>
      <c r="AJ84" s="423"/>
      <c r="AK84" s="345"/>
      <c r="AL84" s="426"/>
      <c r="AM84" s="426"/>
      <c r="AN84" s="345"/>
      <c r="AO84" s="345"/>
      <c r="AP84" s="225"/>
      <c r="AQ84" s="178"/>
      <c r="AR84" s="178"/>
      <c r="AS84" s="226"/>
      <c r="AT84" s="227"/>
      <c r="AY84" s="605"/>
      <c r="AZ84" s="607"/>
      <c r="BA84" s="580" t="s">
        <v>283</v>
      </c>
      <c r="BB84" s="581"/>
      <c r="BC84" s="580" t="s">
        <v>284</v>
      </c>
      <c r="BD84" s="581"/>
      <c r="BE84" s="217" t="s">
        <v>298</v>
      </c>
      <c r="BF84" s="218"/>
      <c r="BG84" s="605"/>
      <c r="BH84" s="606"/>
      <c r="BI84" s="606"/>
      <c r="BJ84" s="606"/>
      <c r="BK84" s="606"/>
      <c r="BL84" s="606"/>
      <c r="BM84" s="607"/>
      <c r="CH84" s="305" t="s">
        <v>372</v>
      </c>
      <c r="CI84" s="305"/>
      <c r="CJ84" s="305"/>
      <c r="CK84" s="309"/>
      <c r="CL84" s="4">
        <f ca="1"/>
        <v>0</v>
      </c>
      <c r="CO84" s="307">
        <f>E23</f>
        <v>0</v>
      </c>
      <c r="CP84" s="305"/>
      <c r="CQ84" s="305"/>
      <c r="CR84" s="308">
        <f>'Forest FES-Wave Mobile'!D20</f>
        <v>0</v>
      </c>
      <c r="CS84" s="305"/>
      <c r="CT84" s="305"/>
      <c r="DA84" s="281"/>
      <c r="DB84" s="281"/>
      <c r="DC84" s="281"/>
      <c r="DD84" s="281"/>
      <c r="DE84" s="281"/>
      <c r="DF84" s="281"/>
      <c r="DG84" s="281"/>
      <c r="DH84" s="281"/>
      <c r="DI84" s="281"/>
      <c r="DJ84" s="281"/>
      <c r="DK84" s="281"/>
      <c r="DL84" s="282"/>
      <c r="DM84" s="281"/>
      <c r="DN84" s="281"/>
      <c r="DP84" s="283"/>
      <c r="DQ84" s="283"/>
      <c r="DR84" s="283"/>
      <c r="DS84" s="283"/>
      <c r="DT84" s="283"/>
      <c r="DU84" s="283"/>
      <c r="DV84" s="283"/>
      <c r="DW84" s="283"/>
      <c r="DX84" s="283"/>
      <c r="DY84" s="283"/>
      <c r="DZ84" s="283"/>
      <c r="EA84" s="284"/>
      <c r="EB84" s="283"/>
      <c r="EC84" s="283"/>
      <c r="ES84" s="101" t="str">
        <f>""</f>
        <v/>
      </c>
      <c r="ET84" s="541"/>
      <c r="EU84" s="541"/>
      <c r="EV84" s="541"/>
      <c r="EW84" s="78" t="str">
        <f ca="1"/>
        <v>Distance between</v>
      </c>
      <c r="EX84" s="55" t="s">
        <v>17</v>
      </c>
      <c r="EY84" s="57" t="s">
        <v>130</v>
      </c>
      <c r="EZ84" s="57"/>
      <c r="FA84" s="66"/>
    </row>
    <row r="85" spans="1:157" s="4" customFormat="1" ht="15" hidden="1" customHeight="1" thickTop="1" thickBot="1" x14ac:dyDescent="0.3">
      <c r="M85" s="4">
        <v>3</v>
      </c>
      <c r="N85" s="4" t="s">
        <v>254</v>
      </c>
      <c r="AE85" s="175"/>
      <c r="AF85" s="175"/>
      <c r="AG85" s="175"/>
      <c r="AH85" s="175"/>
      <c r="AI85" s="225"/>
      <c r="AJ85" s="423"/>
      <c r="AK85" s="345"/>
      <c r="AL85" s="426"/>
      <c r="AM85" s="426"/>
      <c r="AN85" s="345"/>
      <c r="AO85" s="345"/>
      <c r="AP85" s="225"/>
      <c r="AQ85" s="178"/>
      <c r="AR85" s="178"/>
      <c r="AS85" s="226"/>
      <c r="AT85" s="227"/>
      <c r="AY85" s="580"/>
      <c r="AZ85" s="581"/>
      <c r="BA85" s="580"/>
      <c r="BB85" s="581"/>
      <c r="BC85" s="580"/>
      <c r="BD85" s="581"/>
      <c r="BE85" s="580"/>
      <c r="BF85" s="581"/>
      <c r="BG85" s="608"/>
      <c r="BH85" s="608"/>
      <c r="BI85" s="608"/>
      <c r="BJ85" s="608"/>
      <c r="BK85" s="608"/>
      <c r="BL85" s="608"/>
      <c r="BM85" s="609"/>
      <c r="BP85" s="371">
        <f ca="1">AY69</f>
        <v>7.9</v>
      </c>
      <c r="BQ85" s="537"/>
      <c r="BR85" s="371">
        <f ca="1">AY69</f>
        <v>7.9</v>
      </c>
      <c r="BS85" s="372"/>
      <c r="BT85" s="364" t="s">
        <v>15</v>
      </c>
      <c r="BU85" s="365"/>
      <c r="BV85" s="365"/>
      <c r="BW85" s="365"/>
      <c r="BX85" s="365"/>
      <c r="CH85" s="305" t="s">
        <v>373</v>
      </c>
      <c r="CI85" s="305"/>
      <c r="CJ85" s="305"/>
      <c r="CK85" s="309"/>
      <c r="CL85" s="4">
        <f ca="1"/>
        <v>0</v>
      </c>
      <c r="CO85" s="307">
        <f>E25</f>
        <v>0</v>
      </c>
      <c r="CP85" s="305"/>
      <c r="CQ85" s="305"/>
      <c r="CR85" s="310">
        <v>0</v>
      </c>
      <c r="CS85" s="310"/>
      <c r="CT85" s="310"/>
      <c r="DA85" s="281"/>
      <c r="DB85" s="281"/>
      <c r="DC85" s="281"/>
      <c r="DD85" s="281"/>
      <c r="DE85" s="281"/>
      <c r="DF85" s="281"/>
      <c r="DG85" s="281"/>
      <c r="DH85" s="281"/>
      <c r="DI85" s="281"/>
      <c r="DJ85" s="281"/>
      <c r="DK85" s="281"/>
      <c r="DL85" s="281"/>
      <c r="DM85" s="281"/>
      <c r="DN85" s="281"/>
      <c r="DP85" s="283"/>
      <c r="DQ85" s="283"/>
      <c r="DR85" s="283"/>
      <c r="DS85" s="283"/>
      <c r="DT85" s="283"/>
      <c r="DU85" s="283"/>
      <c r="DV85" s="283"/>
      <c r="DW85" s="283"/>
      <c r="DX85" s="283"/>
      <c r="DY85" s="283"/>
      <c r="DZ85" s="283"/>
      <c r="EA85" s="283"/>
      <c r="EB85" s="283"/>
      <c r="EC85" s="283"/>
      <c r="ES85" s="101" t="str">
        <f>""</f>
        <v/>
      </c>
      <c r="ET85" s="541"/>
      <c r="EU85" s="541"/>
      <c r="EV85" s="541"/>
      <c r="EW85" s="76" t="str">
        <f ca="1"/>
        <v xml:space="preserve"> hooks in cm*    = </v>
      </c>
      <c r="EX85" s="6" t="s">
        <v>18</v>
      </c>
      <c r="EY85" s="73" t="s">
        <v>163</v>
      </c>
      <c r="EZ85" s="73"/>
      <c r="FA85" s="7"/>
    </row>
    <row r="86" spans="1:157" s="4" customFormat="1" ht="15.75" hidden="1" thickTop="1" x14ac:dyDescent="0.25">
      <c r="M86" s="4">
        <v>4</v>
      </c>
      <c r="N86" s="4" t="s">
        <v>256</v>
      </c>
      <c r="AE86" s="175"/>
      <c r="AF86" s="175"/>
      <c r="AG86" s="175"/>
      <c r="AH86" s="146"/>
      <c r="AI86" s="230"/>
      <c r="AJ86" s="423"/>
      <c r="AK86" s="345"/>
      <c r="AL86" s="426"/>
      <c r="AM86" s="426"/>
      <c r="AN86" s="345"/>
      <c r="AO86" s="345"/>
      <c r="AP86" s="225"/>
      <c r="AQ86" s="178"/>
      <c r="AR86" s="178"/>
      <c r="AS86" s="228"/>
      <c r="AT86" s="229"/>
      <c r="AY86" s="331">
        <v>1</v>
      </c>
      <c r="AZ86" s="332"/>
      <c r="BA86" s="331">
        <v>1.2</v>
      </c>
      <c r="BB86" s="332"/>
      <c r="BC86" s="331">
        <v>1.2</v>
      </c>
      <c r="BD86" s="332"/>
      <c r="BE86" s="6">
        <v>0</v>
      </c>
      <c r="BF86" s="7">
        <v>0</v>
      </c>
      <c r="BG86" s="349" t="s">
        <v>252</v>
      </c>
      <c r="BH86" s="349"/>
      <c r="BI86" s="349"/>
      <c r="BJ86" s="349"/>
      <c r="BK86" s="349"/>
      <c r="BL86" s="349"/>
      <c r="BM86" s="350"/>
      <c r="BP86" s="538">
        <f ca="1">U57</f>
        <v>8.5</v>
      </c>
      <c r="BQ86" s="539"/>
      <c r="BR86" s="538">
        <f ca="1">AJ89</f>
        <v>5.7</v>
      </c>
      <c r="BS86" s="540"/>
      <c r="BT86" s="145" t="s">
        <v>225</v>
      </c>
      <c r="BU86" s="145"/>
      <c r="BV86" s="145"/>
      <c r="BW86" s="145"/>
      <c r="BX86" s="145"/>
      <c r="CH86" s="305" t="s">
        <v>374</v>
      </c>
      <c r="CI86" s="305"/>
      <c r="CJ86" s="305"/>
      <c r="CK86" s="309"/>
      <c r="CL86" s="4">
        <f ca="1"/>
        <v>16</v>
      </c>
      <c r="CO86" s="543">
        <f>E27</f>
        <v>16</v>
      </c>
      <c r="CP86" s="305"/>
      <c r="CQ86" s="305"/>
      <c r="CR86" s="310">
        <v>0</v>
      </c>
      <c r="CS86" s="310"/>
      <c r="CT86" s="310"/>
      <c r="ES86" s="101" t="str">
        <f>""</f>
        <v/>
      </c>
      <c r="ET86" s="542"/>
      <c r="EU86" s="542"/>
      <c r="EV86" s="542"/>
      <c r="EW86" s="77" t="str">
        <f ca="1"/>
        <v xml:space="preserve"> hooks in pockets* = </v>
      </c>
      <c r="EX86" s="58" t="s">
        <v>193</v>
      </c>
      <c r="EY86" s="60" t="s">
        <v>194</v>
      </c>
      <c r="EZ86" s="60"/>
      <c r="FA86" s="65"/>
    </row>
    <row r="87" spans="1:157" s="4" customFormat="1" ht="15" hidden="1" customHeight="1" x14ac:dyDescent="0.25">
      <c r="M87" s="4">
        <v>5</v>
      </c>
      <c r="N87" s="10" t="s">
        <v>255</v>
      </c>
      <c r="U87" s="10"/>
      <c r="V87" s="10"/>
      <c r="AE87" s="146"/>
      <c r="AF87" s="146"/>
      <c r="AG87" s="146"/>
      <c r="AH87" s="146"/>
      <c r="AI87" s="230"/>
      <c r="AJ87" s="423"/>
      <c r="AK87" s="345"/>
      <c r="AL87" s="426"/>
      <c r="AM87" s="426"/>
      <c r="AN87" s="345"/>
      <c r="AO87" s="345"/>
      <c r="AP87" s="230"/>
      <c r="AQ87" s="42"/>
      <c r="AR87" s="42"/>
      <c r="AS87" s="42"/>
      <c r="AT87" s="231"/>
      <c r="AY87" s="331">
        <v>2</v>
      </c>
      <c r="AZ87" s="332"/>
      <c r="BA87" s="331">
        <v>1.4</v>
      </c>
      <c r="BB87" s="332"/>
      <c r="BC87" s="331">
        <v>1.4</v>
      </c>
      <c r="BD87" s="332"/>
      <c r="BE87" s="6">
        <v>0</v>
      </c>
      <c r="BF87" s="7">
        <v>0</v>
      </c>
      <c r="BG87" s="321" t="s">
        <v>253</v>
      </c>
      <c r="BH87" s="321"/>
      <c r="BI87" s="321"/>
      <c r="BJ87" s="321"/>
      <c r="BK87" s="321"/>
      <c r="BL87" s="321"/>
      <c r="BM87" s="322"/>
      <c r="BP87" s="538">
        <f ca="1">(BP72-BE69-BE83)*AY78</f>
        <v>11.55</v>
      </c>
      <c r="BQ87" s="539"/>
      <c r="BR87" s="538">
        <f ca="1">(BR72-BE69-BF83)*AY78</f>
        <v>13.65</v>
      </c>
      <c r="BS87" s="540"/>
      <c r="BT87" s="145" t="s">
        <v>226</v>
      </c>
      <c r="BU87" s="145"/>
      <c r="BV87" s="145"/>
      <c r="BW87" s="145"/>
      <c r="BX87" s="145"/>
      <c r="ES87" s="101" t="str">
        <f>""</f>
        <v/>
      </c>
      <c r="ET87" s="550" t="s">
        <v>117</v>
      </c>
      <c r="EU87" s="550"/>
      <c r="EV87" s="550"/>
      <c r="EW87" s="78" t="str">
        <f ca="1"/>
        <v>Can't be empty</v>
      </c>
      <c r="EX87" s="55" t="s">
        <v>91</v>
      </c>
      <c r="EY87" s="72" t="s">
        <v>131</v>
      </c>
      <c r="EZ87" s="72"/>
      <c r="FA87" s="56"/>
    </row>
    <row r="88" spans="1:157" s="4" customFormat="1" ht="15" hidden="1" customHeight="1" thickBot="1" x14ac:dyDescent="0.3">
      <c r="AI88" s="230"/>
      <c r="AJ88" s="424"/>
      <c r="AK88" s="346"/>
      <c r="AL88" s="427"/>
      <c r="AM88" s="427"/>
      <c r="AN88" s="346"/>
      <c r="AO88" s="346"/>
      <c r="AP88" s="230"/>
      <c r="AQ88" s="42"/>
      <c r="AR88" s="42"/>
      <c r="AS88" s="42"/>
      <c r="AT88" s="229"/>
      <c r="AY88" s="331">
        <v>3</v>
      </c>
      <c r="AZ88" s="332"/>
      <c r="BA88" s="331">
        <v>1.1000000000000001</v>
      </c>
      <c r="BB88" s="332"/>
      <c r="BC88" s="331">
        <v>1.1000000000000001</v>
      </c>
      <c r="BD88" s="332"/>
      <c r="BE88" s="6">
        <v>0</v>
      </c>
      <c r="BF88" s="7">
        <v>0</v>
      </c>
      <c r="BG88" s="321" t="s">
        <v>254</v>
      </c>
      <c r="BH88" s="321"/>
      <c r="BI88" s="321"/>
      <c r="BJ88" s="321"/>
      <c r="BK88" s="321"/>
      <c r="BL88" s="321"/>
      <c r="BM88" s="322"/>
      <c r="BP88" s="538">
        <f ca="1">BA83</f>
        <v>1.2</v>
      </c>
      <c r="BQ88" s="539"/>
      <c r="BR88" s="538">
        <f ca="1">BC83</f>
        <v>1.2</v>
      </c>
      <c r="BS88" s="540"/>
      <c r="BT88" s="145" t="s">
        <v>248</v>
      </c>
      <c r="BU88" s="145"/>
      <c r="BY88" s="50"/>
      <c r="BZ88" s="50"/>
      <c r="ES88" s="101" t="str">
        <f>""</f>
        <v/>
      </c>
      <c r="ET88" s="541"/>
      <c r="EU88" s="541"/>
      <c r="EV88" s="541"/>
      <c r="EW88" s="76" t="str">
        <f ca="1"/>
        <v>Value is too high</v>
      </c>
      <c r="EX88" s="6" t="s">
        <v>92</v>
      </c>
      <c r="EY88" s="73" t="s">
        <v>132</v>
      </c>
      <c r="EZ88" s="73"/>
      <c r="FA88" s="7"/>
    </row>
    <row r="89" spans="1:157" s="4" customFormat="1" ht="15" hidden="1" customHeight="1" thickTop="1" thickBot="1" x14ac:dyDescent="0.3">
      <c r="O89" s="4">
        <v>0</v>
      </c>
      <c r="P89" s="4" t="s">
        <v>328</v>
      </c>
      <c r="AI89" s="232" t="s">
        <v>245</v>
      </c>
      <c r="AJ89" s="347">
        <f ca="1">OFFSET(AJ90,O57,0,1,1)</f>
        <v>5.7</v>
      </c>
      <c r="AK89" s="348"/>
      <c r="AL89" s="347">
        <f ca="1">OFFSET(AL90,O57,0,1,1)</f>
        <v>4</v>
      </c>
      <c r="AM89" s="348"/>
      <c r="AN89" s="347">
        <f ca="1">OFFSET(AN90,O57,0,1,1)</f>
        <v>1</v>
      </c>
      <c r="AO89" s="613"/>
      <c r="AP89" s="646" t="s">
        <v>293</v>
      </c>
      <c r="AQ89" s="647"/>
      <c r="AR89" s="647"/>
      <c r="AS89" s="647"/>
      <c r="AT89" s="648"/>
      <c r="AY89" s="331">
        <v>4</v>
      </c>
      <c r="AZ89" s="332"/>
      <c r="BA89" s="331">
        <v>1.8</v>
      </c>
      <c r="BB89" s="332"/>
      <c r="BC89" s="331">
        <v>1.8</v>
      </c>
      <c r="BD89" s="332"/>
      <c r="BE89" s="6">
        <v>1</v>
      </c>
      <c r="BF89" s="7">
        <v>1</v>
      </c>
      <c r="BG89" s="321" t="s">
        <v>256</v>
      </c>
      <c r="BH89" s="321"/>
      <c r="BI89" s="321"/>
      <c r="BJ89" s="321"/>
      <c r="BK89" s="321"/>
      <c r="BL89" s="321"/>
      <c r="BM89" s="322"/>
      <c r="BP89" s="538">
        <f ca="1">IF(J57=1,BY89,0)</f>
        <v>2.5</v>
      </c>
      <c r="BQ89" s="539"/>
      <c r="BR89" s="373">
        <f ca="1">IF(J57=1,BY89,0)</f>
        <v>2.5</v>
      </c>
      <c r="BS89" s="374"/>
      <c r="BT89" s="145" t="s">
        <v>249</v>
      </c>
      <c r="BU89" s="145"/>
      <c r="BY89" s="245">
        <v>2.5</v>
      </c>
      <c r="BZ89" s="158" t="s">
        <v>162</v>
      </c>
      <c r="CI89" s="272">
        <f ca="1">SUM(CI90:CI91)</f>
        <v>1</v>
      </c>
      <c r="CJ89" s="311" t="str" cm="1">
        <f t="array" aca="1" ref="CJ89" ca="1">MID(CELL("bestandsnaam"),FIND("]",CELL("bestandsnaam"))+1,30)</f>
        <v>Forest FES-Wave</v>
      </c>
      <c r="CK89" s="312"/>
      <c r="CL89" s="312"/>
      <c r="CM89" s="312"/>
      <c r="CN89" s="313"/>
      <c r="ES89" s="101" t="str">
        <f>""</f>
        <v/>
      </c>
      <c r="ET89" s="541"/>
      <c r="EU89" s="541"/>
      <c r="EV89" s="541"/>
      <c r="EW89" s="76" t="str">
        <f ca="1"/>
        <v>Value is too low</v>
      </c>
      <c r="EX89" s="6" t="s">
        <v>93</v>
      </c>
      <c r="EY89" s="73" t="s">
        <v>133</v>
      </c>
      <c r="EZ89" s="73"/>
      <c r="FA89" s="7"/>
    </row>
    <row r="90" spans="1:157" s="4" customFormat="1" ht="15" hidden="1" customHeight="1" thickTop="1" thickBot="1" x14ac:dyDescent="0.3">
      <c r="O90" s="4">
        <v>1</v>
      </c>
      <c r="P90" s="4" t="s">
        <v>310</v>
      </c>
      <c r="AI90" s="220">
        <v>0</v>
      </c>
      <c r="AJ90" s="359">
        <f ca="1">U57</f>
        <v>8.5</v>
      </c>
      <c r="AK90" s="579"/>
      <c r="AL90" s="359">
        <f ca="1">W57</f>
        <v>6.5</v>
      </c>
      <c r="AM90" s="579"/>
      <c r="AN90" s="359">
        <f ca="1">Y57</f>
        <v>1</v>
      </c>
      <c r="AO90" s="360"/>
      <c r="AP90" s="361" t="s">
        <v>302</v>
      </c>
      <c r="AQ90" s="362"/>
      <c r="AR90" s="362"/>
      <c r="AS90" s="362"/>
      <c r="AT90" s="363"/>
      <c r="AY90" s="377">
        <v>5</v>
      </c>
      <c r="AZ90" s="379"/>
      <c r="BA90" s="354">
        <v>0</v>
      </c>
      <c r="BB90" s="354"/>
      <c r="BC90" s="354">
        <v>0</v>
      </c>
      <c r="BD90" s="354"/>
      <c r="BE90" s="14">
        <v>0</v>
      </c>
      <c r="BF90" s="9">
        <v>0</v>
      </c>
      <c r="BG90" s="340" t="s">
        <v>255</v>
      </c>
      <c r="BH90" s="340"/>
      <c r="BI90" s="340"/>
      <c r="BJ90" s="340"/>
      <c r="BK90" s="340"/>
      <c r="BL90" s="340"/>
      <c r="BM90" s="341"/>
      <c r="BP90" s="371">
        <f ca="1">BP85+BP86+BP87+BP88+BP89</f>
        <v>31.65</v>
      </c>
      <c r="BQ90" s="372"/>
      <c r="BR90" s="371">
        <f ca="1">BR85+BR86+BR87+BR88+BR89</f>
        <v>30.95</v>
      </c>
      <c r="BS90" s="372"/>
      <c r="BT90" s="535" t="s">
        <v>250</v>
      </c>
      <c r="BU90" s="536"/>
      <c r="BV90" s="536"/>
      <c r="BW90" s="536"/>
      <c r="BX90" s="536"/>
      <c r="CI90" s="4">
        <f ca="1">IF(CJ89=CJ90,1,0)</f>
        <v>1</v>
      </c>
      <c r="CJ90" s="305" t="s">
        <v>375</v>
      </c>
      <c r="CK90" s="305"/>
      <c r="CL90" s="305"/>
      <c r="CM90" s="305"/>
      <c r="CN90" s="305"/>
      <c r="ES90" s="101" t="str">
        <f>""</f>
        <v/>
      </c>
      <c r="ET90" s="541"/>
      <c r="EU90" s="541"/>
      <c r="EV90" s="541"/>
      <c r="EW90" s="76" t="str">
        <f ca="1"/>
        <v>Can't be text</v>
      </c>
      <c r="EX90" s="6" t="s">
        <v>247</v>
      </c>
      <c r="EY90" s="73" t="s">
        <v>134</v>
      </c>
      <c r="EZ90" s="73"/>
      <c r="FA90" s="7"/>
    </row>
    <row r="91" spans="1:157" s="4" customFormat="1" ht="15" hidden="1" customHeight="1" thickBot="1" x14ac:dyDescent="0.3">
      <c r="O91" s="4">
        <v>2</v>
      </c>
      <c r="P91" s="4" t="s">
        <v>310</v>
      </c>
      <c r="AI91" s="220">
        <v>1</v>
      </c>
      <c r="AJ91" s="329">
        <v>5.7</v>
      </c>
      <c r="AK91" s="330"/>
      <c r="AL91" s="329">
        <v>4</v>
      </c>
      <c r="AM91" s="330"/>
      <c r="AN91" s="329">
        <v>1</v>
      </c>
      <c r="AO91" s="375"/>
      <c r="AP91" s="364" t="s">
        <v>303</v>
      </c>
      <c r="AQ91" s="365"/>
      <c r="AR91" s="365"/>
      <c r="AS91" s="365"/>
      <c r="AT91" s="366"/>
      <c r="BP91" s="373"/>
      <c r="BQ91" s="374"/>
      <c r="BR91" s="373"/>
      <c r="BS91" s="374"/>
      <c r="BT91" s="535"/>
      <c r="BU91" s="536"/>
      <c r="BV91" s="536"/>
      <c r="BW91" s="536"/>
      <c r="BX91" s="536"/>
      <c r="CI91" s="4">
        <f ca="1">IF(CJ89=CJ91,2,0)</f>
        <v>0</v>
      </c>
      <c r="CJ91" s="305" t="s">
        <v>376</v>
      </c>
      <c r="CK91" s="305"/>
      <c r="CL91" s="305"/>
      <c r="CM91" s="305"/>
      <c r="CN91" s="305"/>
      <c r="ES91" s="101" t="str">
        <f>""</f>
        <v/>
      </c>
      <c r="ET91" s="541"/>
      <c r="EU91" s="541"/>
      <c r="EV91" s="541"/>
      <c r="EW91" s="76" t="str">
        <f ca="1"/>
        <v>Option not possible</v>
      </c>
      <c r="EX91" s="6" t="s">
        <v>94</v>
      </c>
      <c r="EY91" s="73" t="s">
        <v>135</v>
      </c>
      <c r="EZ91" s="73"/>
      <c r="FA91" s="7"/>
    </row>
    <row r="92" spans="1:157" s="4" customFormat="1" ht="15" hidden="1" customHeight="1" thickBot="1" x14ac:dyDescent="0.3">
      <c r="L92" s="560" t="s">
        <v>281</v>
      </c>
      <c r="O92" s="4">
        <v>3</v>
      </c>
      <c r="P92" s="4" t="s">
        <v>312</v>
      </c>
      <c r="AI92" s="220">
        <v>2</v>
      </c>
      <c r="AJ92" s="357">
        <v>1.03</v>
      </c>
      <c r="AK92" s="376"/>
      <c r="AL92" s="357">
        <v>4</v>
      </c>
      <c r="AM92" s="376"/>
      <c r="AN92" s="357">
        <v>1</v>
      </c>
      <c r="AO92" s="358"/>
      <c r="AP92" s="361" t="s">
        <v>304</v>
      </c>
      <c r="AQ92" s="362"/>
      <c r="AR92" s="362"/>
      <c r="AS92" s="362"/>
      <c r="AT92" s="363"/>
      <c r="BF92" s="184"/>
      <c r="BG92" s="184"/>
      <c r="BH92" s="184"/>
      <c r="BI92" s="599" t="s">
        <v>340</v>
      </c>
      <c r="BJ92" s="599"/>
      <c r="BK92" s="599"/>
      <c r="BL92" s="599"/>
      <c r="BM92" s="599"/>
      <c r="BP92" s="389">
        <f ca="1">ROUND(BP90,0)</f>
        <v>32</v>
      </c>
      <c r="BQ92" s="368"/>
      <c r="BR92" s="367">
        <f ca="1">IF(BV65=0,BP92,ROUND(BR90,0))</f>
        <v>32</v>
      </c>
      <c r="BS92" s="368"/>
      <c r="BT92" s="535" t="s">
        <v>222</v>
      </c>
      <c r="BU92" s="536"/>
      <c r="BV92" s="536"/>
      <c r="BW92" s="536"/>
      <c r="BX92" s="536"/>
      <c r="ES92" s="101" t="str">
        <f>""</f>
        <v/>
      </c>
      <c r="ET92" s="541"/>
      <c r="EU92" s="541"/>
      <c r="EV92" s="541"/>
      <c r="EW92" s="76" t="str">
        <f ca="1"/>
        <v>Does not exist</v>
      </c>
      <c r="EX92" s="6" t="s">
        <v>95</v>
      </c>
      <c r="EY92" s="73" t="s">
        <v>136</v>
      </c>
      <c r="EZ92" s="73"/>
      <c r="FA92" s="7"/>
    </row>
    <row r="93" spans="1:157" s="4" customFormat="1" ht="15" hidden="1" customHeight="1" thickTop="1" thickBot="1" x14ac:dyDescent="0.3">
      <c r="L93" s="560"/>
      <c r="O93" s="4">
        <v>4</v>
      </c>
      <c r="P93" s="4" t="s">
        <v>312</v>
      </c>
      <c r="AI93" s="220">
        <v>3</v>
      </c>
      <c r="AJ93" s="329">
        <v>5.48</v>
      </c>
      <c r="AK93" s="330"/>
      <c r="AL93" s="329">
        <v>4</v>
      </c>
      <c r="AM93" s="330"/>
      <c r="AN93" s="329">
        <v>1</v>
      </c>
      <c r="AO93" s="375"/>
      <c r="AP93" s="337" t="s">
        <v>305</v>
      </c>
      <c r="AQ93" s="321"/>
      <c r="AR93" s="321"/>
      <c r="AS93" s="321"/>
      <c r="AT93" s="322"/>
      <c r="AW93" s="306" t="s">
        <v>341</v>
      </c>
      <c r="AX93" s="306"/>
      <c r="AY93" s="306"/>
      <c r="AZ93" s="306"/>
      <c r="BA93" s="306"/>
      <c r="BC93" s="599" t="s">
        <v>342</v>
      </c>
      <c r="BD93" s="599"/>
      <c r="BE93" s="599"/>
      <c r="BF93" s="599"/>
      <c r="BG93" s="599"/>
      <c r="BH93" s="184"/>
      <c r="BI93" s="377" t="s">
        <v>258</v>
      </c>
      <c r="BJ93" s="379"/>
      <c r="BK93" s="379"/>
      <c r="BL93" s="378"/>
      <c r="BM93" s="190">
        <f ca="1">IF(ISERROR(BI94),1,0)</f>
        <v>0</v>
      </c>
      <c r="BP93" s="369"/>
      <c r="BQ93" s="370"/>
      <c r="BR93" s="369"/>
      <c r="BS93" s="370"/>
      <c r="BT93" s="535"/>
      <c r="BU93" s="536"/>
      <c r="BV93" s="536"/>
      <c r="BW93" s="536"/>
      <c r="BX93" s="536"/>
      <c r="CJ93" s="4" t="str" cm="1">
        <f t="array" aca="1" ref="CJ93" ca="1">CELL("bestandsnaam")</f>
        <v>R:\Documentatie\FES rekenschema\[FES calculation sheet V2.6.3.xlsx]Forest FES-Wave</v>
      </c>
      <c r="ES93" s="101" t="str">
        <f>""</f>
        <v/>
      </c>
      <c r="ET93" s="541"/>
      <c r="EU93" s="541"/>
      <c r="EV93" s="541"/>
      <c r="EW93" s="77" t="str">
        <f ca="1"/>
        <v>Wrong language</v>
      </c>
      <c r="EX93" s="58" t="s">
        <v>158</v>
      </c>
      <c r="EY93" s="87" t="s">
        <v>159</v>
      </c>
      <c r="EZ93" s="87"/>
      <c r="FA93" s="59"/>
    </row>
    <row r="94" spans="1:157" s="4" customFormat="1" ht="15" hidden="1" customHeight="1" thickTop="1" x14ac:dyDescent="0.25">
      <c r="L94" s="560"/>
      <c r="O94" s="4">
        <v>5</v>
      </c>
      <c r="P94" s="4" t="s">
        <v>311</v>
      </c>
      <c r="AI94" s="220">
        <v>4</v>
      </c>
      <c r="AJ94" s="357">
        <v>0.7</v>
      </c>
      <c r="AK94" s="376"/>
      <c r="AL94" s="357">
        <v>1.5</v>
      </c>
      <c r="AM94" s="376"/>
      <c r="AN94" s="357" t="s">
        <v>14</v>
      </c>
      <c r="AO94" s="376"/>
      <c r="AP94" s="584" t="s">
        <v>306</v>
      </c>
      <c r="AQ94" s="585"/>
      <c r="AR94" s="585"/>
      <c r="AS94" s="585"/>
      <c r="AT94" s="586"/>
      <c r="AW94" s="564" t="str">
        <f>IF($AK$105=$AW$107,AE112,AH112)</f>
        <v>5,4 cm (100%)</v>
      </c>
      <c r="AX94" s="405"/>
      <c r="AY94" s="405"/>
      <c r="AZ94" s="405"/>
      <c r="BA94" s="406"/>
      <c r="BC94" s="219" t="str">
        <f ca="1">IF(BA78=1,AW94,"")</f>
        <v>5,4 cm (100%)</v>
      </c>
      <c r="BD94" s="199"/>
      <c r="BE94" s="199"/>
      <c r="BF94" s="199"/>
      <c r="BG94" s="200"/>
      <c r="BH94"/>
      <c r="BI94" s="6" t="str" cm="1">
        <f t="array" aca="1" ref="BI94:BI96" ca="1">_xlfn._xlws.SORT(BC94:BC96,,-1)</f>
        <v>8 cm (60%)</v>
      </c>
      <c r="BM94" s="7"/>
      <c r="ES94" s="101" t="str">
        <f>""</f>
        <v/>
      </c>
      <c r="ET94" s="541" t="s">
        <v>118</v>
      </c>
      <c r="EU94" s="541"/>
      <c r="EV94" s="541"/>
      <c r="EW94" s="78" t="str">
        <f ca="1"/>
        <v>Number of hooks</v>
      </c>
      <c r="EX94" s="55" t="s">
        <v>96</v>
      </c>
      <c r="EY94" s="57" t="s">
        <v>137</v>
      </c>
      <c r="EZ94" s="57"/>
      <c r="FA94" s="66"/>
    </row>
    <row r="95" spans="1:157" s="4" customFormat="1" ht="15" hidden="1" customHeight="1" x14ac:dyDescent="0.25">
      <c r="H95" s="54"/>
      <c r="I95" s="54"/>
      <c r="J95" s="54"/>
      <c r="K95" s="54"/>
      <c r="L95" s="560"/>
      <c r="O95" s="4">
        <v>6</v>
      </c>
      <c r="P95" s="4" t="s">
        <v>313</v>
      </c>
      <c r="AI95" s="220">
        <v>5</v>
      </c>
      <c r="AJ95" s="331">
        <v>0.65</v>
      </c>
      <c r="AK95" s="332"/>
      <c r="AL95" s="331">
        <v>3.5</v>
      </c>
      <c r="AM95" s="332"/>
      <c r="AN95" s="331">
        <v>0</v>
      </c>
      <c r="AO95" s="305"/>
      <c r="AP95" s="337" t="s">
        <v>317</v>
      </c>
      <c r="AQ95" s="321"/>
      <c r="AR95" s="321"/>
      <c r="AS95" s="321"/>
      <c r="AT95" s="322"/>
      <c r="AW95" s="331" t="str">
        <f>IF($AK$105=$AW$107,AE113,AH113)</f>
        <v>6 cm (80%)</v>
      </c>
      <c r="AX95" s="305"/>
      <c r="AY95" s="305"/>
      <c r="AZ95" s="305"/>
      <c r="BA95" s="332"/>
      <c r="BC95" s="6" t="str">
        <f ca="1">IF(BC78=1,AW95,"")</f>
        <v>6 cm (80%)</v>
      </c>
      <c r="BG95" s="7"/>
      <c r="BH95"/>
      <c r="BI95" s="6" t="str">
        <f ca="1"/>
        <v>6 cm (80%)</v>
      </c>
      <c r="BM95" s="7"/>
      <c r="ES95" s="101" t="str">
        <f>""</f>
        <v/>
      </c>
      <c r="ET95" s="541"/>
      <c r="EU95" s="541"/>
      <c r="EV95" s="541"/>
      <c r="EW95" s="77" t="str">
        <f ca="1"/>
        <v xml:space="preserve"> in curtain needed</v>
      </c>
      <c r="EX95" s="58" t="s">
        <v>97</v>
      </c>
      <c r="EY95" s="60" t="s">
        <v>138</v>
      </c>
      <c r="EZ95" s="60"/>
      <c r="FA95" s="65"/>
    </row>
    <row r="96" spans="1:157" s="4" customFormat="1" ht="15" hidden="1" customHeight="1" thickBot="1" x14ac:dyDescent="0.3">
      <c r="H96" s="560" t="s">
        <v>65</v>
      </c>
      <c r="I96" s="560" t="s">
        <v>66</v>
      </c>
      <c r="J96" s="560" t="s">
        <v>73</v>
      </c>
      <c r="K96" s="560" t="s">
        <v>202</v>
      </c>
      <c r="L96" s="560"/>
      <c r="O96" s="4">
        <v>7</v>
      </c>
      <c r="P96" s="4" t="s">
        <v>314</v>
      </c>
      <c r="X96" s="10"/>
      <c r="Y96" s="10"/>
      <c r="Z96" s="10"/>
      <c r="AA96" s="10"/>
      <c r="AB96" s="10"/>
      <c r="AC96" s="10"/>
      <c r="AD96" s="10"/>
      <c r="AI96" s="30">
        <v>6</v>
      </c>
      <c r="AJ96" s="329">
        <v>1</v>
      </c>
      <c r="AK96" s="330"/>
      <c r="AL96" s="329">
        <v>4</v>
      </c>
      <c r="AM96" s="330"/>
      <c r="AN96" s="329">
        <v>0</v>
      </c>
      <c r="AO96" s="375"/>
      <c r="AP96" s="610" t="s">
        <v>316</v>
      </c>
      <c r="AQ96" s="611"/>
      <c r="AR96" s="611"/>
      <c r="AS96" s="611"/>
      <c r="AT96" s="612"/>
      <c r="AW96" s="377" t="str">
        <f>IF($AK$105=$AW$107,AE114,AH114)</f>
        <v>8 cm (60%)</v>
      </c>
      <c r="AX96" s="379"/>
      <c r="AY96" s="379"/>
      <c r="AZ96" s="379"/>
      <c r="BA96" s="378"/>
      <c r="BC96" s="14" t="str">
        <f ca="1">IF(BE78=1,AW96,"")</f>
        <v>8 cm (60%)</v>
      </c>
      <c r="BD96" s="8"/>
      <c r="BE96" s="8"/>
      <c r="BF96" s="8"/>
      <c r="BG96" s="9"/>
      <c r="BI96" s="14" t="str">
        <f ca="1"/>
        <v>5,4 cm (100%)</v>
      </c>
      <c r="BJ96" s="8"/>
      <c r="BK96" s="8"/>
      <c r="BL96" s="8"/>
      <c r="BM96" s="9"/>
      <c r="ES96" s="101" t="str">
        <f>""</f>
        <v/>
      </c>
      <c r="ET96" s="541"/>
      <c r="EU96" s="541"/>
      <c r="EV96" s="541"/>
      <c r="EW96" s="78" t="str">
        <f ca="1"/>
        <v>Number of</v>
      </c>
      <c r="EX96" s="55" t="s">
        <v>98</v>
      </c>
      <c r="EY96" s="57" t="s">
        <v>139</v>
      </c>
      <c r="EZ96" s="57"/>
      <c r="FA96" s="66"/>
    </row>
    <row r="97" spans="1:157" s="4" customFormat="1" ht="15" hidden="1" customHeight="1" x14ac:dyDescent="0.25">
      <c r="H97" s="560"/>
      <c r="I97" s="560"/>
      <c r="J97" s="560"/>
      <c r="K97" s="560"/>
      <c r="L97" s="560"/>
      <c r="O97" s="4">
        <v>8</v>
      </c>
      <c r="P97" s="4" t="s">
        <v>315</v>
      </c>
      <c r="AI97" s="30">
        <v>7</v>
      </c>
      <c r="AJ97" s="600">
        <v>4.1500000000000004</v>
      </c>
      <c r="AK97" s="601"/>
      <c r="AL97" s="600">
        <v>4.1500000000000004</v>
      </c>
      <c r="AM97" s="601"/>
      <c r="AN97" s="600">
        <v>0</v>
      </c>
      <c r="AO97" s="624"/>
      <c r="AP97" s="380" t="s">
        <v>318</v>
      </c>
      <c r="AQ97" s="381"/>
      <c r="AR97" s="381"/>
      <c r="AS97" s="381"/>
      <c r="AT97" s="382"/>
      <c r="ES97" s="101" t="str">
        <f>""</f>
        <v/>
      </c>
      <c r="ET97" s="541"/>
      <c r="EU97" s="541"/>
      <c r="EV97" s="541"/>
      <c r="EW97" s="77" t="str">
        <f ca="1"/>
        <v>carriers needed**</v>
      </c>
      <c r="EX97" s="58" t="s">
        <v>99</v>
      </c>
      <c r="EY97" s="60" t="s">
        <v>140</v>
      </c>
      <c r="EZ97" s="60"/>
      <c r="FA97" s="65"/>
    </row>
    <row r="98" spans="1:157" s="4" customFormat="1" ht="15" hidden="1" customHeight="1" thickBot="1" x14ac:dyDescent="0.3">
      <c r="H98" s="560"/>
      <c r="I98" s="560"/>
      <c r="J98" s="560"/>
      <c r="K98" s="560"/>
      <c r="L98" s="560"/>
      <c r="AI98" s="196">
        <v>8</v>
      </c>
      <c r="AJ98" s="377">
        <v>1</v>
      </c>
      <c r="AK98" s="378"/>
      <c r="AL98" s="377">
        <v>3.42</v>
      </c>
      <c r="AM98" s="378"/>
      <c r="AN98" s="377">
        <v>0</v>
      </c>
      <c r="AO98" s="379"/>
      <c r="AP98" s="436" t="s">
        <v>319</v>
      </c>
      <c r="AQ98" s="351"/>
      <c r="AR98" s="351"/>
      <c r="AS98" s="351"/>
      <c r="AT98" s="352"/>
      <c r="BF98" s="184"/>
      <c r="BG98" s="184"/>
      <c r="BH98" s="184"/>
      <c r="BI98" s="599" t="s">
        <v>280</v>
      </c>
      <c r="BJ98" s="599"/>
      <c r="BK98" s="599"/>
      <c r="BL98" s="599"/>
      <c r="BM98" s="599"/>
      <c r="ES98" s="101" t="str">
        <f>""</f>
        <v/>
      </c>
      <c r="ET98" s="541"/>
      <c r="EU98" s="541"/>
      <c r="EV98" s="541"/>
      <c r="EW98" s="78" t="str">
        <f ca="1"/>
        <v>Curtain stacking</v>
      </c>
      <c r="EX98" s="55" t="s">
        <v>100</v>
      </c>
      <c r="EY98" s="57" t="s">
        <v>143</v>
      </c>
      <c r="EZ98" s="57"/>
      <c r="FA98" s="66"/>
    </row>
    <row r="99" spans="1:157" s="4" customFormat="1" ht="15" hidden="1" customHeight="1" thickBot="1" x14ac:dyDescent="0.3">
      <c r="H99" s="560"/>
      <c r="I99" s="560"/>
      <c r="J99" s="560"/>
      <c r="K99" s="560"/>
      <c r="L99" s="560"/>
      <c r="AW99" s="306" t="s">
        <v>279</v>
      </c>
      <c r="AX99" s="306"/>
      <c r="AY99" s="306"/>
      <c r="AZ99" s="306"/>
      <c r="BA99" s="306"/>
      <c r="BC99" s="306" t="s">
        <v>278</v>
      </c>
      <c r="BD99" s="306"/>
      <c r="BE99" s="306"/>
      <c r="BF99" s="306"/>
      <c r="BG99" s="306"/>
      <c r="BH99" s="184"/>
      <c r="BI99" s="377" t="s">
        <v>258</v>
      </c>
      <c r="BJ99" s="379"/>
      <c r="BK99" s="379"/>
      <c r="BL99" s="378"/>
      <c r="BM99" s="190">
        <f ca="1">IF(ISERROR(BI100),1,0)</f>
        <v>0</v>
      </c>
      <c r="ES99" s="101" t="str">
        <f>""</f>
        <v/>
      </c>
      <c r="ET99" s="541"/>
      <c r="EU99" s="541"/>
      <c r="EV99" s="541"/>
      <c r="EW99" s="76" t="str">
        <f ca="1"/>
        <v>in open position</v>
      </c>
      <c r="EX99" s="6" t="s">
        <v>101</v>
      </c>
      <c r="EY99" s="12" t="s">
        <v>141</v>
      </c>
      <c r="EZ99" s="12"/>
      <c r="FA99" s="18"/>
    </row>
    <row r="100" spans="1:157" s="4" customFormat="1" ht="15" hidden="1" customHeight="1" thickTop="1" thickBot="1" x14ac:dyDescent="0.3">
      <c r="C100" s="54"/>
      <c r="D100" s="54"/>
      <c r="E100" s="54"/>
      <c r="F100" s="54"/>
      <c r="G100" s="54"/>
      <c r="H100" s="561"/>
      <c r="I100" s="561"/>
      <c r="J100" s="561"/>
      <c r="K100" s="561"/>
      <c r="L100" s="561"/>
      <c r="AL100" s="41"/>
      <c r="AW100" s="564" t="s">
        <v>0</v>
      </c>
      <c r="AX100" s="405"/>
      <c r="AY100" s="405"/>
      <c r="AZ100" s="405"/>
      <c r="BA100" s="406"/>
      <c r="BC100" s="219" t="str">
        <f ca="1">IF(R57=1,AW100,"")</f>
        <v>Easywave</v>
      </c>
      <c r="BD100" s="199"/>
      <c r="BE100" s="199"/>
      <c r="BF100" s="199"/>
      <c r="BG100" s="200"/>
      <c r="BH100"/>
      <c r="BI100" s="6" t="str" cm="1">
        <f t="array" aca="1" ref="BI100:BI102" ca="1">_xlfn._xlws.SORT(BC100:BC102,,-1)</f>
        <v>Easywave</v>
      </c>
      <c r="BM100" s="7"/>
      <c r="DJ100" s="10"/>
      <c r="ES100" s="101" t="str">
        <f>""</f>
        <v/>
      </c>
      <c r="ET100" s="541"/>
      <c r="EU100" s="541"/>
      <c r="EV100" s="541"/>
      <c r="EW100" s="77" t="str">
        <f ca="1"/>
        <v>(minimal)</v>
      </c>
      <c r="EX100" s="58" t="s">
        <v>102</v>
      </c>
      <c r="EY100" s="60" t="s">
        <v>142</v>
      </c>
      <c r="EZ100" s="60"/>
      <c r="FA100" s="65"/>
    </row>
    <row r="101" spans="1:157" s="4" customFormat="1" ht="15.75" hidden="1" thickBot="1" x14ac:dyDescent="0.3">
      <c r="A101" s="8"/>
      <c r="B101" s="9"/>
      <c r="C101" s="615" t="s">
        <v>64</v>
      </c>
      <c r="D101" s="616"/>
      <c r="E101" s="616"/>
      <c r="F101" s="616"/>
      <c r="G101" s="617"/>
      <c r="H101" s="37">
        <f ca="1">IF(SUM(H102:H157)&gt;0,1,0)</f>
        <v>0</v>
      </c>
      <c r="I101" s="37">
        <f>SUM(I102:I157)</f>
        <v>0</v>
      </c>
      <c r="J101" s="37">
        <f ca="1">SUM(J102:J157)</f>
        <v>3</v>
      </c>
      <c r="K101" s="37">
        <f>SUM(K102:K157)</f>
        <v>0</v>
      </c>
      <c r="L101" s="37">
        <f ca="1">SUM(L102:L157)</f>
        <v>0</v>
      </c>
      <c r="M101" s="10"/>
      <c r="N101" s="10"/>
      <c r="O101" s="10"/>
      <c r="P101" s="10"/>
      <c r="Q101" s="10"/>
      <c r="AW101" s="331" t="s">
        <v>4</v>
      </c>
      <c r="AX101" s="305"/>
      <c r="AY101" s="305"/>
      <c r="AZ101" s="305"/>
      <c r="BA101" s="332"/>
      <c r="BC101" s="6" t="str">
        <f ca="1">IF(S57=1,AW101,"")</f>
        <v>Easyflex</v>
      </c>
      <c r="BG101" s="7"/>
      <c r="BH101"/>
      <c r="BI101" s="6" t="str">
        <f ca="1"/>
        <v>Easyflex</v>
      </c>
      <c r="BM101" s="7"/>
      <c r="ES101" s="101" t="str">
        <f>""</f>
        <v/>
      </c>
      <c r="ET101" s="541"/>
      <c r="EU101" s="541"/>
      <c r="EV101" s="541"/>
      <c r="EW101" s="78" t="str">
        <f ca="1"/>
        <v>Total tape length</v>
      </c>
      <c r="EX101" s="55" t="s">
        <v>103</v>
      </c>
      <c r="EY101" s="57" t="s">
        <v>168</v>
      </c>
      <c r="EZ101" s="57"/>
      <c r="FA101" s="66"/>
    </row>
    <row r="102" spans="1:157" s="4" customFormat="1" ht="15.75" hidden="1" thickBot="1" x14ac:dyDescent="0.3">
      <c r="A102" s="625" t="s">
        <v>349</v>
      </c>
      <c r="B102" s="626"/>
      <c r="C102" s="415" t="s">
        <v>357</v>
      </c>
      <c r="D102" s="416"/>
      <c r="E102" s="416"/>
      <c r="F102" s="416"/>
      <c r="G102" s="416"/>
      <c r="H102" s="262">
        <f>IF(E11="",1,0)</f>
        <v>0</v>
      </c>
      <c r="I102" s="45"/>
      <c r="J102" s="110"/>
      <c r="K102" s="110"/>
      <c r="L102" s="46"/>
      <c r="M102" s="270"/>
      <c r="N102" s="271"/>
      <c r="O102" s="271"/>
      <c r="P102" s="271"/>
      <c r="Q102" s="270"/>
      <c r="R102" s="5"/>
      <c r="S102" s="5"/>
      <c r="T102" s="5"/>
      <c r="U102" s="5"/>
      <c r="V102" s="164"/>
      <c r="AW102" s="377" t="s">
        <v>78</v>
      </c>
      <c r="AX102" s="379"/>
      <c r="AY102" s="379"/>
      <c r="AZ102" s="379"/>
      <c r="BA102" s="378"/>
      <c r="BC102" s="14" t="str">
        <f ca="1">IF(T57=1,AW102,"")</f>
        <v/>
      </c>
      <c r="BD102" s="8"/>
      <c r="BE102" s="8"/>
      <c r="BF102" s="8"/>
      <c r="BG102" s="9"/>
      <c r="BI102" s="14" t="str">
        <f ca="1"/>
        <v/>
      </c>
      <c r="BJ102" s="8"/>
      <c r="BK102" s="8"/>
      <c r="BL102" s="8"/>
      <c r="BM102" s="9"/>
      <c r="ES102" s="101" t="str">
        <f>""</f>
        <v/>
      </c>
      <c r="ET102" s="541"/>
      <c r="EU102" s="541"/>
      <c r="EV102" s="541"/>
      <c r="EW102" s="77" t="str">
        <f ca="1"/>
        <v>required</v>
      </c>
      <c r="EX102" s="58" t="s">
        <v>104</v>
      </c>
      <c r="EY102" s="60" t="s">
        <v>169</v>
      </c>
      <c r="EZ102" s="60"/>
      <c r="FA102" s="65"/>
    </row>
    <row r="103" spans="1:157" s="4" customFormat="1" ht="15.75" hidden="1" thickBot="1" x14ac:dyDescent="0.3">
      <c r="A103" s="629"/>
      <c r="B103" s="630"/>
      <c r="C103" s="377" t="s">
        <v>159</v>
      </c>
      <c r="D103" s="379"/>
      <c r="E103" s="379"/>
      <c r="F103" s="379"/>
      <c r="G103" s="379"/>
      <c r="H103" s="260">
        <f ca="1">IF(ISERROR(Q103),1,0)</f>
        <v>0</v>
      </c>
      <c r="I103" s="111"/>
      <c r="J103" s="111"/>
      <c r="K103" s="111"/>
      <c r="L103" s="265"/>
      <c r="M103" s="434" t="s">
        <v>360</v>
      </c>
      <c r="N103" s="435"/>
      <c r="O103" s="435"/>
      <c r="P103" s="435"/>
      <c r="Q103" s="436" t="str">
        <f ca="1">VLOOKUP(E11,EW67:EW147,1,FALSE)</f>
        <v>FMS (Shuttle)</v>
      </c>
      <c r="R103" s="351"/>
      <c r="S103" s="351"/>
      <c r="T103" s="351"/>
      <c r="U103" s="351"/>
      <c r="V103" s="9"/>
      <c r="BF103" s="1"/>
      <c r="BG103" s="1"/>
      <c r="ES103" s="101" t="str">
        <f>""</f>
        <v/>
      </c>
      <c r="ET103" s="541"/>
      <c r="EU103" s="541"/>
      <c r="EV103" s="541"/>
      <c r="EW103" s="79" t="str">
        <f ca="1"/>
        <v>Curtain fullness</v>
      </c>
      <c r="EX103" s="61" t="s">
        <v>105</v>
      </c>
      <c r="EY103" s="62" t="s">
        <v>144</v>
      </c>
      <c r="EZ103" s="62"/>
      <c r="FA103" s="67"/>
    </row>
    <row r="104" spans="1:157" s="4" customFormat="1" ht="15.75" hidden="1" thickBot="1" x14ac:dyDescent="0.3">
      <c r="A104" s="625" t="s">
        <v>350</v>
      </c>
      <c r="B104" s="626"/>
      <c r="C104" s="415" t="s">
        <v>357</v>
      </c>
      <c r="D104" s="416"/>
      <c r="E104" s="416"/>
      <c r="F104" s="416"/>
      <c r="G104" s="416"/>
      <c r="H104" s="12">
        <f>IF(E13="",1,0)</f>
        <v>0</v>
      </c>
      <c r="I104" s="95"/>
      <c r="J104" s="95"/>
      <c r="K104" s="95"/>
      <c r="L104" s="38"/>
      <c r="M104" s="6"/>
      <c r="Q104" s="6"/>
      <c r="U104" s="166"/>
      <c r="V104" s="187"/>
      <c r="AE104" s="415" t="s">
        <v>195</v>
      </c>
      <c r="AF104" s="416"/>
      <c r="AG104" s="416"/>
      <c r="AH104" s="562">
        <v>2.54</v>
      </c>
      <c r="AI104" s="563"/>
      <c r="AK104" s="338" t="s">
        <v>189</v>
      </c>
      <c r="AL104" s="414"/>
      <c r="AM104" s="414"/>
      <c r="AN104" s="414"/>
      <c r="AO104" s="411" t="str">
        <f>IF(AK105="","!","")</f>
        <v/>
      </c>
      <c r="AQ104" s="308" t="s">
        <v>50</v>
      </c>
      <c r="AR104" s="308"/>
      <c r="AS104" s="308"/>
      <c r="AT104" s="308"/>
      <c r="AV104" s="413" t="s">
        <v>49</v>
      </c>
      <c r="AW104" s="413"/>
      <c r="AX104" s="413"/>
      <c r="AY104" s="413"/>
      <c r="BC104" s="379" t="s">
        <v>205</v>
      </c>
      <c r="BD104" s="379"/>
      <c r="BE104" s="379"/>
      <c r="BF104" s="379"/>
      <c r="BG104" s="379"/>
      <c r="BH104" s="379"/>
      <c r="BI104" s="1"/>
      <c r="BJ104" s="403" t="s">
        <v>257</v>
      </c>
      <c r="BK104" s="403"/>
      <c r="BL104" s="403"/>
      <c r="BM104" s="403"/>
      <c r="BN104" s="403"/>
      <c r="BO104" s="403"/>
      <c r="BR104" s="15"/>
      <c r="BS104" s="556" t="s">
        <v>21</v>
      </c>
      <c r="BT104" s="556"/>
      <c r="BU104" s="556"/>
      <c r="BV104" s="556"/>
      <c r="BW104" s="556"/>
      <c r="BX104" s="5"/>
      <c r="BY104" s="557" t="s">
        <v>22</v>
      </c>
      <c r="BZ104" s="558"/>
      <c r="DJ104" s="10"/>
      <c r="ES104" s="101" t="str">
        <f>""</f>
        <v/>
      </c>
      <c r="ET104" s="541"/>
      <c r="EU104" s="541"/>
      <c r="EV104" s="541"/>
      <c r="EW104" s="78" t="str">
        <f ca="1"/>
        <v xml:space="preserve">    Total depth of the curtain:</v>
      </c>
      <c r="EX104" s="55" t="s">
        <v>166</v>
      </c>
      <c r="EY104" s="57" t="s">
        <v>167</v>
      </c>
      <c r="EZ104" s="57"/>
      <c r="FA104" s="66"/>
    </row>
    <row r="105" spans="1:157" s="4" customFormat="1" ht="15.75" hidden="1" thickBot="1" x14ac:dyDescent="0.3">
      <c r="A105" s="627"/>
      <c r="B105" s="628"/>
      <c r="C105" s="559" t="s">
        <v>358</v>
      </c>
      <c r="D105" s="308"/>
      <c r="E105" s="308"/>
      <c r="F105" s="308"/>
      <c r="G105" s="308"/>
      <c r="H105" s="12">
        <f>IF(ISTEXT(E13)=TRUE,1,0)</f>
        <v>0</v>
      </c>
      <c r="I105" s="95"/>
      <c r="J105" s="95"/>
      <c r="K105" s="95"/>
      <c r="L105" s="38"/>
      <c r="M105" s="6"/>
      <c r="Q105" s="6"/>
      <c r="V105" s="7"/>
      <c r="AE105" s="393" t="s">
        <v>190</v>
      </c>
      <c r="AF105" s="394"/>
      <c r="AG105" s="394"/>
      <c r="AH105" s="394">
        <f ca="1">CL79*AH104</f>
        <v>254</v>
      </c>
      <c r="AI105" s="395"/>
      <c r="AJ105" s="105" t="s">
        <v>162</v>
      </c>
      <c r="AK105" s="400" t="s">
        <v>162</v>
      </c>
      <c r="AL105" s="401"/>
      <c r="AM105" s="401"/>
      <c r="AN105" s="402"/>
      <c r="AO105" s="412"/>
      <c r="AQ105" s="583">
        <v>1</v>
      </c>
      <c r="AR105" s="394" t="str">
        <f t="shared" ref="AR105:AR110" ca="1" si="5">EW111</f>
        <v>Motor side</v>
      </c>
      <c r="AS105" s="394"/>
      <c r="AT105" s="395"/>
      <c r="AV105" s="23">
        <v>8</v>
      </c>
      <c r="AW105" s="564" t="str">
        <f ca="1">EW108</f>
        <v>One-way draw</v>
      </c>
      <c r="AX105" s="405"/>
      <c r="AY105" s="406"/>
      <c r="BC105" s="160" t="str" cm="1">
        <f t="array" aca="1" ref="BC105:BC126" ca="1">IF(BJ105=1,A59:A80,BJ106:BJ127)</f>
        <v>CCS</v>
      </c>
      <c r="BD105" s="161"/>
      <c r="BE105" s="161"/>
      <c r="BF105" s="161"/>
      <c r="BG105" s="27"/>
      <c r="BH105" s="28"/>
      <c r="BI105" s="1"/>
      <c r="BJ105" s="165">
        <f ca="1">IF(ISERROR(BJ106),1,0)</f>
        <v>0</v>
      </c>
      <c r="BK105" s="621" t="s">
        <v>258</v>
      </c>
      <c r="BL105" s="622"/>
      <c r="BM105" s="622"/>
      <c r="BN105" s="622"/>
      <c r="BO105" s="623"/>
      <c r="BR105" s="14"/>
      <c r="BS105" s="8">
        <v>5.4</v>
      </c>
      <c r="BT105" s="8">
        <v>6</v>
      </c>
      <c r="BU105" s="8">
        <v>8</v>
      </c>
      <c r="BV105" s="8"/>
      <c r="BW105" s="8"/>
      <c r="BX105" s="9"/>
      <c r="BY105" s="14">
        <v>1.1000000000000001</v>
      </c>
      <c r="BZ105" s="9"/>
      <c r="ES105" s="101" t="str">
        <f>""</f>
        <v/>
      </c>
      <c r="ET105" s="541"/>
      <c r="EU105" s="541"/>
      <c r="EV105" s="541"/>
      <c r="EW105" s="76" t="str">
        <f ca="1"/>
        <v>In closed position</v>
      </c>
      <c r="EX105" s="6" t="s">
        <v>106</v>
      </c>
      <c r="EY105" s="12" t="s">
        <v>145</v>
      </c>
      <c r="EZ105" s="12"/>
      <c r="FA105" s="18"/>
    </row>
    <row r="106" spans="1:157" s="4" customFormat="1" ht="15.75" hidden="1" thickBot="1" x14ac:dyDescent="0.3">
      <c r="A106" s="627"/>
      <c r="B106" s="628"/>
      <c r="C106" s="559" t="s">
        <v>20</v>
      </c>
      <c r="D106" s="308"/>
      <c r="E106" s="308"/>
      <c r="F106" s="308"/>
      <c r="G106" s="308"/>
      <c r="H106" s="89">
        <f ca="1">IF(AH108&lt;Q106,1,0)</f>
        <v>0</v>
      </c>
      <c r="I106" s="96"/>
      <c r="J106" s="95"/>
      <c r="K106" s="95"/>
      <c r="L106" s="38"/>
      <c r="M106" s="620" t="s">
        <v>77</v>
      </c>
      <c r="N106" s="531"/>
      <c r="O106" s="531"/>
      <c r="P106" s="531"/>
      <c r="Q106" s="640">
        <v>20</v>
      </c>
      <c r="R106" s="641"/>
      <c r="S106" s="4" t="s">
        <v>162</v>
      </c>
      <c r="V106" s="7"/>
      <c r="AE106" s="559" t="s">
        <v>196</v>
      </c>
      <c r="AF106" s="308"/>
      <c r="AG106" s="308"/>
      <c r="AH106" s="305">
        <f>IF($AM$107=AL110,0,IF($AM$107=AL111,0.125*$AH$104,IF($AM$107=AL112,0.25*$AH$104,IF($AM$107=AL113,0.375*$AH$104,IF($AM$107=AL114,0.5*$AH$104,IF($AM$107=AL115,0.625*$AH$104,IF($HF13106,0.75*$AH$104,IF($AM$107=AL117,0.875*$AH$104,0))))))))</f>
        <v>0</v>
      </c>
      <c r="AI106" s="332"/>
      <c r="AJ106" s="4" t="s">
        <v>162</v>
      </c>
      <c r="AL106" s="10"/>
      <c r="AQ106" s="391"/>
      <c r="AR106" s="405" t="str">
        <f t="shared" ca="1" si="5"/>
        <v>Return side</v>
      </c>
      <c r="AS106" s="405"/>
      <c r="AT106" s="406"/>
      <c r="AV106" s="23">
        <v>9</v>
      </c>
      <c r="AW106" s="582" t="str">
        <f ca="1">EW107</f>
        <v>Center closing</v>
      </c>
      <c r="AX106" s="403"/>
      <c r="AY106" s="404"/>
      <c r="BC106" s="162" t="str">
        <f ca="1"/>
        <v>CRS 20</v>
      </c>
      <c r="BD106" s="50"/>
      <c r="BE106" s="50"/>
      <c r="BF106" s="50"/>
      <c r="BG106" s="1"/>
      <c r="BH106" s="163"/>
      <c r="BI106" s="1"/>
      <c r="BJ106" s="32" t="str" cm="1">
        <f t="array" aca="1" ref="BJ106:BJ127" ca="1">_xlfn._xlws.SORT(EW124:EW145)</f>
        <v>CCS</v>
      </c>
      <c r="BK106" s="5"/>
      <c r="BL106" s="5"/>
      <c r="BM106" s="5"/>
      <c r="BN106" s="5"/>
      <c r="BO106" s="164"/>
      <c r="BR106" s="19">
        <v>8</v>
      </c>
      <c r="BS106" s="4">
        <v>4.9000000000000004</v>
      </c>
      <c r="BT106" s="4">
        <v>4.5</v>
      </c>
      <c r="BU106" s="10">
        <v>0</v>
      </c>
      <c r="BV106" s="12">
        <f t="shared" ref="BV106:BV121" si="6">IF($E$17=$AW$94,IF($E$27=BR106,BS106,0),0)</f>
        <v>0</v>
      </c>
      <c r="BW106" s="4">
        <f t="shared" ref="BW106:BW121" si="7">IF($E$17=$AW$95,IF($E$27=BR106,BT106,0),0)</f>
        <v>0</v>
      </c>
      <c r="BX106" s="4">
        <f t="shared" ref="BX106:BX121" si="8">IF($E$17=$AW$96,IF($E$27=BR106,BU106,0),0)</f>
        <v>0</v>
      </c>
      <c r="BY106" s="6">
        <v>7.9</v>
      </c>
      <c r="BZ106" s="18">
        <f t="shared" ref="BZ106:BZ121" si="9">IF($E$27=BR106,BY106,0)</f>
        <v>0</v>
      </c>
      <c r="ES106" s="101" t="str">
        <f>""</f>
        <v/>
      </c>
      <c r="ET106" s="541"/>
      <c r="EU106" s="541"/>
      <c r="EV106" s="541"/>
      <c r="EW106" s="77" t="str">
        <f ca="1"/>
        <v>With open position</v>
      </c>
      <c r="EX106" s="58" t="s">
        <v>107</v>
      </c>
      <c r="EY106" s="60" t="s">
        <v>146</v>
      </c>
      <c r="EZ106" s="60"/>
      <c r="FA106" s="65"/>
    </row>
    <row r="107" spans="1:157" s="4" customFormat="1" ht="15.75" hidden="1" thickBot="1" x14ac:dyDescent="0.3">
      <c r="A107" s="629"/>
      <c r="B107" s="630"/>
      <c r="C107" s="614" t="s">
        <v>160</v>
      </c>
      <c r="D107" s="413"/>
      <c r="E107" s="413"/>
      <c r="F107" s="413"/>
      <c r="G107" s="413"/>
      <c r="H107" s="260">
        <f ca="1">IF(AH108&gt;Q107,1,0)</f>
        <v>0</v>
      </c>
      <c r="I107" s="111"/>
      <c r="J107" s="111"/>
      <c r="K107" s="111"/>
      <c r="L107" s="265"/>
      <c r="M107" s="642" t="s">
        <v>161</v>
      </c>
      <c r="N107" s="643"/>
      <c r="O107" s="643"/>
      <c r="P107" s="643"/>
      <c r="Q107" s="436">
        <v>1400</v>
      </c>
      <c r="R107" s="352"/>
      <c r="S107" s="8" t="s">
        <v>162</v>
      </c>
      <c r="T107" s="8"/>
      <c r="U107" s="8"/>
      <c r="V107" s="9"/>
      <c r="AE107" s="377" t="s">
        <v>197</v>
      </c>
      <c r="AF107" s="379"/>
      <c r="AG107" s="379"/>
      <c r="AH107" s="308">
        <f ca="1">AH105+AH106</f>
        <v>254</v>
      </c>
      <c r="AI107" s="565"/>
      <c r="AJ107" s="10" t="s">
        <v>162</v>
      </c>
      <c r="AM107" s="407" t="s">
        <v>14</v>
      </c>
      <c r="AN107" s="408"/>
      <c r="AQ107" s="391">
        <v>2</v>
      </c>
      <c r="AR107" s="405" t="str">
        <f t="shared" ca="1" si="5"/>
        <v>Left side</v>
      </c>
      <c r="AS107" s="405"/>
      <c r="AT107" s="406"/>
      <c r="AV107" s="23">
        <v>10</v>
      </c>
      <c r="AW107" s="393" t="s">
        <v>162</v>
      </c>
      <c r="AX107" s="394"/>
      <c r="AY107" s="395"/>
      <c r="BC107" s="6" t="str">
        <f ca="1"/>
        <v>CRS 28</v>
      </c>
      <c r="BH107" s="7"/>
      <c r="BJ107" s="6" t="str">
        <f ca="1"/>
        <v>CRS 20</v>
      </c>
      <c r="BO107" s="7"/>
      <c r="BR107" s="19">
        <v>9</v>
      </c>
      <c r="BS107" s="4">
        <v>6.25</v>
      </c>
      <c r="BT107" s="4">
        <v>5.56</v>
      </c>
      <c r="BU107" s="4">
        <v>3.53</v>
      </c>
      <c r="BV107" s="12">
        <f t="shared" si="6"/>
        <v>0</v>
      </c>
      <c r="BW107" s="4">
        <f t="shared" si="7"/>
        <v>0</v>
      </c>
      <c r="BX107" s="4">
        <f t="shared" si="8"/>
        <v>0</v>
      </c>
      <c r="BY107" s="6">
        <v>8.91</v>
      </c>
      <c r="BZ107" s="18">
        <f t="shared" si="9"/>
        <v>0</v>
      </c>
      <c r="ES107" s="101" t="str">
        <f>""</f>
        <v/>
      </c>
      <c r="ET107" s="541" t="s">
        <v>113</v>
      </c>
      <c r="EU107" s="541"/>
      <c r="EV107" s="541"/>
      <c r="EW107" s="78" t="str">
        <f ca="1"/>
        <v>Center closing</v>
      </c>
      <c r="EX107" s="55" t="s">
        <v>12</v>
      </c>
      <c r="EY107" s="57" t="s">
        <v>147</v>
      </c>
      <c r="EZ107" s="57"/>
      <c r="FA107" s="66"/>
    </row>
    <row r="108" spans="1:157" s="4" customFormat="1" ht="15.75" hidden="1" thickBot="1" x14ac:dyDescent="0.3">
      <c r="A108" s="625" t="s">
        <v>351</v>
      </c>
      <c r="B108" s="626"/>
      <c r="C108" s="415" t="s">
        <v>357</v>
      </c>
      <c r="D108" s="416"/>
      <c r="E108" s="416"/>
      <c r="F108" s="416"/>
      <c r="G108" s="416"/>
      <c r="H108" s="12">
        <f>IF(E15="",1,0)</f>
        <v>0</v>
      </c>
      <c r="I108" s="95"/>
      <c r="J108" s="98"/>
      <c r="K108" s="98"/>
      <c r="L108" s="39"/>
      <c r="M108" s="6"/>
      <c r="Q108" s="6"/>
      <c r="U108" s="1"/>
      <c r="V108" s="163"/>
      <c r="AE108" s="396" t="s">
        <v>198</v>
      </c>
      <c r="AF108" s="397"/>
      <c r="AG108" s="397"/>
      <c r="AH108" s="389">
        <f ca="1">IF(AK105=AW107,CL79,AH107)</f>
        <v>100</v>
      </c>
      <c r="AI108" s="368"/>
      <c r="AJ108" s="390" t="s">
        <v>162</v>
      </c>
      <c r="AM108" s="409"/>
      <c r="AN108" s="410"/>
      <c r="AQ108" s="391"/>
      <c r="AR108" s="405" t="str">
        <f t="shared" ca="1" si="5"/>
        <v>Right side</v>
      </c>
      <c r="AS108" s="405"/>
      <c r="AT108" s="406"/>
      <c r="AV108" s="20">
        <v>11</v>
      </c>
      <c r="AW108" s="582" t="s">
        <v>190</v>
      </c>
      <c r="AX108" s="403"/>
      <c r="AY108" s="404"/>
      <c r="BC108" s="6" t="str">
        <f ca="1"/>
        <v>CRS Corded</v>
      </c>
      <c r="BH108" s="7"/>
      <c r="BJ108" s="6" t="str">
        <f ca="1"/>
        <v>CRS 28</v>
      </c>
      <c r="BO108" s="7"/>
      <c r="BR108" s="19">
        <v>10</v>
      </c>
      <c r="BS108" s="4">
        <v>7.68</v>
      </c>
      <c r="BT108" s="4">
        <v>6.94</v>
      </c>
      <c r="BU108" s="4">
        <v>5.0999999999999996</v>
      </c>
      <c r="BV108" s="12">
        <f t="shared" si="6"/>
        <v>0</v>
      </c>
      <c r="BW108" s="4">
        <f t="shared" si="7"/>
        <v>0</v>
      </c>
      <c r="BX108" s="4">
        <f t="shared" si="8"/>
        <v>0</v>
      </c>
      <c r="BY108" s="6">
        <v>9.92</v>
      </c>
      <c r="BZ108" s="18">
        <f t="shared" si="9"/>
        <v>0</v>
      </c>
      <c r="ES108" s="101" t="str">
        <f>""</f>
        <v/>
      </c>
      <c r="ET108" s="541"/>
      <c r="EU108" s="541"/>
      <c r="EV108" s="541"/>
      <c r="EW108" s="77" t="str">
        <f ca="1"/>
        <v>One-way draw</v>
      </c>
      <c r="EX108" s="58" t="s">
        <v>11</v>
      </c>
      <c r="EY108" s="60" t="s">
        <v>148</v>
      </c>
      <c r="EZ108" s="60"/>
      <c r="FA108" s="65"/>
    </row>
    <row r="109" spans="1:157" s="4" customFormat="1" ht="15.75" hidden="1" thickBot="1" x14ac:dyDescent="0.3">
      <c r="A109" s="627"/>
      <c r="B109" s="628"/>
      <c r="C109" s="331" t="s">
        <v>159</v>
      </c>
      <c r="D109" s="305"/>
      <c r="E109" s="305"/>
      <c r="F109" s="305"/>
      <c r="G109" s="309"/>
      <c r="H109" s="12">
        <f>IF(ISERROR(Q109),1,0)</f>
        <v>0</v>
      </c>
      <c r="I109" s="95"/>
      <c r="J109" s="95"/>
      <c r="K109" s="95"/>
      <c r="L109" s="38"/>
      <c r="M109" s="618" t="s">
        <v>360</v>
      </c>
      <c r="N109" s="619"/>
      <c r="O109" s="619"/>
      <c r="P109" s="619"/>
      <c r="Q109" s="337" t="str">
        <f>VLOOKUP(E17,AW94:BA96,1,FALSE)</f>
        <v>8 cm (60%)</v>
      </c>
      <c r="R109" s="321"/>
      <c r="S109" s="321"/>
      <c r="T109" s="321"/>
      <c r="U109" s="321"/>
      <c r="V109" s="163"/>
      <c r="AE109" s="398"/>
      <c r="AF109" s="399"/>
      <c r="AG109" s="399"/>
      <c r="AH109" s="369"/>
      <c r="AI109" s="370"/>
      <c r="AJ109" s="390"/>
      <c r="AQ109" s="391">
        <v>3</v>
      </c>
      <c r="AR109" s="405" t="str">
        <f t="shared" ca="1" si="5"/>
        <v>Control side</v>
      </c>
      <c r="AS109" s="405"/>
      <c r="AT109" s="406"/>
      <c r="AV109" s="20">
        <v>12</v>
      </c>
      <c r="AW109" s="32" t="str">
        <f ca="1">EW109</f>
        <v>Steel</v>
      </c>
      <c r="AX109" s="27"/>
      <c r="AY109" s="28"/>
      <c r="BC109" s="6" t="str">
        <f ca="1"/>
        <v>CRS Rectangular 45</v>
      </c>
      <c r="BH109" s="7"/>
      <c r="BJ109" s="6" t="str">
        <f ca="1"/>
        <v>CRS Corded</v>
      </c>
      <c r="BO109" s="7"/>
      <c r="BR109" s="19">
        <v>11</v>
      </c>
      <c r="BS109" s="4">
        <v>8.9700000000000006</v>
      </c>
      <c r="BT109" s="4">
        <v>8.3800000000000008</v>
      </c>
      <c r="BU109" s="4">
        <v>6.3239999999999998</v>
      </c>
      <c r="BV109" s="12">
        <f t="shared" si="6"/>
        <v>0</v>
      </c>
      <c r="BW109" s="4">
        <f t="shared" si="7"/>
        <v>0</v>
      </c>
      <c r="BX109" s="4">
        <f t="shared" si="8"/>
        <v>0</v>
      </c>
      <c r="BY109" s="6">
        <v>10.93</v>
      </c>
      <c r="BZ109" s="18">
        <f t="shared" si="9"/>
        <v>0</v>
      </c>
      <c r="ES109" s="101" t="str">
        <f>""</f>
        <v/>
      </c>
      <c r="ET109" s="541"/>
      <c r="EU109" s="541"/>
      <c r="EV109" s="541"/>
      <c r="EW109" s="78" t="str">
        <f ca="1"/>
        <v>Steel</v>
      </c>
      <c r="EX109" s="55" t="s">
        <v>51</v>
      </c>
      <c r="EY109" s="57" t="s">
        <v>45</v>
      </c>
      <c r="EZ109" s="57"/>
      <c r="FA109" s="66"/>
    </row>
    <row r="110" spans="1:157" s="4" customFormat="1" ht="15.75" hidden="1" thickBot="1" x14ac:dyDescent="0.3">
      <c r="A110" s="629"/>
      <c r="B110" s="630"/>
      <c r="C110" s="614" t="s">
        <v>82</v>
      </c>
      <c r="D110" s="413"/>
      <c r="E110" s="413"/>
      <c r="F110" s="413"/>
      <c r="G110" s="413"/>
      <c r="H110" s="260">
        <f ca="1">IF(BM99=0,IF(ISERROR(Q110),1,0),IF(ISERROR(T110),1,0))</f>
        <v>0</v>
      </c>
      <c r="I110" s="111"/>
      <c r="J110" s="192"/>
      <c r="K110" s="192"/>
      <c r="L110" s="268"/>
      <c r="M110" s="377" t="s">
        <v>320</v>
      </c>
      <c r="N110" s="379"/>
      <c r="O110" s="379"/>
      <c r="P110" s="379"/>
      <c r="Q110" s="377" t="str">
        <f ca="1">VLOOKUP(E15,BC100:BC102,1,FALSE)</f>
        <v>Easywave</v>
      </c>
      <c r="R110" s="379"/>
      <c r="S110" s="379"/>
      <c r="T110" s="574" t="str">
        <f>VLOOKUP(E15,AW100:BA102,1,FALSE)</f>
        <v>Easywave</v>
      </c>
      <c r="U110" s="379"/>
      <c r="V110" s="378"/>
      <c r="AL110" s="109" t="s">
        <v>14</v>
      </c>
      <c r="AQ110" s="392"/>
      <c r="AR110" s="403" t="str">
        <f t="shared" ca="1" si="5"/>
        <v>Return side</v>
      </c>
      <c r="AS110" s="403"/>
      <c r="AT110" s="404"/>
      <c r="AV110" s="20">
        <v>13</v>
      </c>
      <c r="AW110" s="17" t="str">
        <f ca="1">EW110</f>
        <v>Plastic</v>
      </c>
      <c r="AX110" s="2"/>
      <c r="AY110" s="26"/>
      <c r="BC110" s="6" t="str">
        <f ca="1"/>
        <v>CRS Square 30</v>
      </c>
      <c r="BH110" s="7"/>
      <c r="BJ110" s="6" t="str">
        <f ca="1"/>
        <v>CRS Rectangular 45</v>
      </c>
      <c r="BO110" s="7"/>
      <c r="BR110" s="19">
        <v>12</v>
      </c>
      <c r="BS110" s="4">
        <v>10.199999999999999</v>
      </c>
      <c r="BT110" s="4">
        <v>9.69</v>
      </c>
      <c r="BU110" s="4">
        <v>7.4</v>
      </c>
      <c r="BV110" s="12">
        <f t="shared" si="6"/>
        <v>0</v>
      </c>
      <c r="BW110" s="4">
        <f t="shared" si="7"/>
        <v>0</v>
      </c>
      <c r="BX110" s="4">
        <f t="shared" si="8"/>
        <v>0</v>
      </c>
      <c r="BY110" s="6">
        <v>11.93</v>
      </c>
      <c r="BZ110" s="18">
        <f t="shared" si="9"/>
        <v>0</v>
      </c>
      <c r="ES110" s="101" t="str">
        <f>""</f>
        <v/>
      </c>
      <c r="ET110" s="541"/>
      <c r="EU110" s="541"/>
      <c r="EV110" s="541"/>
      <c r="EW110" s="77" t="str">
        <f ca="1"/>
        <v>Plastic</v>
      </c>
      <c r="EX110" s="58" t="s">
        <v>52</v>
      </c>
      <c r="EY110" s="60" t="s">
        <v>46</v>
      </c>
      <c r="EZ110" s="60"/>
      <c r="FA110" s="65"/>
    </row>
    <row r="111" spans="1:157" s="4" customFormat="1" ht="15.75" hidden="1" thickBot="1" x14ac:dyDescent="0.3">
      <c r="A111" s="625" t="s">
        <v>240</v>
      </c>
      <c r="B111" s="626"/>
      <c r="C111" s="415" t="s">
        <v>357</v>
      </c>
      <c r="D111" s="416"/>
      <c r="E111" s="416"/>
      <c r="F111" s="416"/>
      <c r="G111" s="416"/>
      <c r="H111" s="12">
        <f>IF(E17="",1,0)</f>
        <v>0</v>
      </c>
      <c r="I111" s="95"/>
      <c r="J111" s="96"/>
      <c r="K111" s="96"/>
      <c r="L111" s="40"/>
      <c r="M111" s="6"/>
      <c r="Q111" s="6"/>
      <c r="U111" s="1"/>
      <c r="V111" s="163"/>
      <c r="AE111" s="386" t="s">
        <v>162</v>
      </c>
      <c r="AF111" s="387"/>
      <c r="AG111" s="388"/>
      <c r="AH111" s="386" t="s">
        <v>192</v>
      </c>
      <c r="AI111" s="387"/>
      <c r="AJ111" s="388"/>
      <c r="AL111" s="91" t="s">
        <v>182</v>
      </c>
      <c r="AV111" s="20">
        <v>14</v>
      </c>
      <c r="BC111" s="6" t="str">
        <f ca="1"/>
        <v>CS</v>
      </c>
      <c r="BH111" s="7"/>
      <c r="BJ111" s="6" t="str">
        <f ca="1"/>
        <v>CRS Square 30</v>
      </c>
      <c r="BO111" s="7"/>
      <c r="BR111" s="19">
        <v>13</v>
      </c>
      <c r="BS111" s="1">
        <v>11.36</v>
      </c>
      <c r="BT111" s="1">
        <v>10.9</v>
      </c>
      <c r="BU111" s="1">
        <v>8.73</v>
      </c>
      <c r="BV111" s="12">
        <f t="shared" si="6"/>
        <v>0</v>
      </c>
      <c r="BW111" s="4">
        <f t="shared" si="7"/>
        <v>0</v>
      </c>
      <c r="BX111" s="4">
        <f t="shared" si="8"/>
        <v>0</v>
      </c>
      <c r="BY111" s="16">
        <v>12.94</v>
      </c>
      <c r="BZ111" s="18">
        <f t="shared" si="9"/>
        <v>0</v>
      </c>
      <c r="ES111" s="101" t="str">
        <f>""</f>
        <v/>
      </c>
      <c r="ET111" s="541" t="s">
        <v>112</v>
      </c>
      <c r="EU111" s="541"/>
      <c r="EV111" s="541"/>
      <c r="EW111" s="78" t="str">
        <f ca="1"/>
        <v>Motor side</v>
      </c>
      <c r="EX111" s="55" t="s">
        <v>23</v>
      </c>
      <c r="EY111" s="57" t="s">
        <v>149</v>
      </c>
      <c r="EZ111" s="57"/>
      <c r="FA111" s="66"/>
    </row>
    <row r="112" spans="1:157" s="4" customFormat="1" ht="15.75" hidden="1" thickBot="1" x14ac:dyDescent="0.3">
      <c r="A112" s="629"/>
      <c r="B112" s="630"/>
      <c r="C112" s="614" t="s">
        <v>324</v>
      </c>
      <c r="D112" s="413"/>
      <c r="E112" s="413"/>
      <c r="F112" s="413"/>
      <c r="G112" s="413"/>
      <c r="H112" s="260">
        <f ca="1">IF(E15="",0,IF(BM93=0,IF(ISERROR(Q112),1,0),IF(ISERROR(T112),1,0)))</f>
        <v>0</v>
      </c>
      <c r="I112" s="111"/>
      <c r="J112" s="192"/>
      <c r="K112" s="192"/>
      <c r="L112" s="268"/>
      <c r="M112" s="377" t="s">
        <v>325</v>
      </c>
      <c r="N112" s="379"/>
      <c r="O112" s="379"/>
      <c r="P112" s="379"/>
      <c r="Q112" s="377" t="str">
        <f ca="1">VLOOKUP(E17,BC94:BC96,1,FALSE)</f>
        <v>8 cm (60%)</v>
      </c>
      <c r="R112" s="379"/>
      <c r="S112" s="379"/>
      <c r="T112" s="574" t="str">
        <f>VLOOKUP(E17,AW94:BA96,1,FALSE)</f>
        <v>8 cm (60%)</v>
      </c>
      <c r="U112" s="379"/>
      <c r="V112" s="378"/>
      <c r="AE112" s="393" t="s">
        <v>6</v>
      </c>
      <c r="AF112" s="394"/>
      <c r="AG112" s="395"/>
      <c r="AH112" s="383" t="s">
        <v>179</v>
      </c>
      <c r="AI112" s="384"/>
      <c r="AJ112" s="385"/>
      <c r="AL112" s="92" t="s">
        <v>183</v>
      </c>
      <c r="AQ112" s="308" t="s">
        <v>50</v>
      </c>
      <c r="AR112" s="308"/>
      <c r="AS112" s="308"/>
      <c r="AT112" s="308"/>
      <c r="AV112" s="23">
        <v>15</v>
      </c>
      <c r="AW112" s="6"/>
      <c r="BC112" s="6" t="str">
        <f ca="1"/>
        <v>CS Recess</v>
      </c>
      <c r="BH112" s="7"/>
      <c r="BJ112" s="6" t="str">
        <f ca="1"/>
        <v>CS</v>
      </c>
      <c r="BO112" s="7"/>
      <c r="BR112" s="19">
        <v>14</v>
      </c>
      <c r="BS112" s="1">
        <v>12.5</v>
      </c>
      <c r="BT112" s="1">
        <v>12.1</v>
      </c>
      <c r="BU112" s="1">
        <v>10.24</v>
      </c>
      <c r="BV112" s="12">
        <f t="shared" si="6"/>
        <v>0</v>
      </c>
      <c r="BW112" s="4">
        <f t="shared" si="7"/>
        <v>0</v>
      </c>
      <c r="BX112" s="4">
        <f t="shared" si="8"/>
        <v>0</v>
      </c>
      <c r="BY112" s="16">
        <v>13.94</v>
      </c>
      <c r="BZ112" s="18">
        <f t="shared" si="9"/>
        <v>0</v>
      </c>
      <c r="ES112" s="101" t="str">
        <f>""</f>
        <v/>
      </c>
      <c r="ET112" s="541"/>
      <c r="EU112" s="541"/>
      <c r="EV112" s="541"/>
      <c r="EW112" s="76" t="str">
        <f ca="1"/>
        <v>Return side</v>
      </c>
      <c r="EX112" s="6" t="s">
        <v>24</v>
      </c>
      <c r="EY112" s="12" t="s">
        <v>150</v>
      </c>
      <c r="EZ112" s="12"/>
      <c r="FA112" s="18"/>
    </row>
    <row r="113" spans="1:157" s="4" customFormat="1" ht="15.75" hidden="1" thickBot="1" x14ac:dyDescent="0.3">
      <c r="A113" s="625" t="s">
        <v>352</v>
      </c>
      <c r="B113" s="626"/>
      <c r="C113" s="415" t="s">
        <v>357</v>
      </c>
      <c r="D113" s="416"/>
      <c r="E113" s="416"/>
      <c r="F113" s="416"/>
      <c r="G113" s="416"/>
      <c r="H113" s="12">
        <f>IF(E19="",1,0)</f>
        <v>0</v>
      </c>
      <c r="I113" s="95"/>
      <c r="J113" s="96"/>
      <c r="K113" s="96"/>
      <c r="L113" s="40"/>
      <c r="M113" s="6"/>
      <c r="Q113" s="6"/>
      <c r="U113" s="1"/>
      <c r="V113" s="163"/>
      <c r="AE113" s="564" t="s">
        <v>7</v>
      </c>
      <c r="AF113" s="405"/>
      <c r="AG113" s="406"/>
      <c r="AH113" s="575" t="s">
        <v>180</v>
      </c>
      <c r="AI113" s="548"/>
      <c r="AJ113" s="639"/>
      <c r="AL113" s="91" t="s">
        <v>184</v>
      </c>
      <c r="AQ113" s="379" t="s">
        <v>363</v>
      </c>
      <c r="AR113" s="379"/>
      <c r="AS113" s="379"/>
      <c r="AT113" s="379"/>
      <c r="AV113" s="23">
        <v>16</v>
      </c>
      <c r="AW113" s="6"/>
      <c r="BC113" s="6" t="str">
        <f ca="1"/>
        <v>DS</v>
      </c>
      <c r="BH113" s="7"/>
      <c r="BJ113" s="6" t="str">
        <f ca="1"/>
        <v>CS Recess</v>
      </c>
      <c r="BO113" s="7"/>
      <c r="BR113" s="19">
        <v>15</v>
      </c>
      <c r="BS113" s="1">
        <v>13.6</v>
      </c>
      <c r="BT113" s="1">
        <v>13.26</v>
      </c>
      <c r="BU113" s="1">
        <v>11.62</v>
      </c>
      <c r="BV113" s="12">
        <f t="shared" si="6"/>
        <v>0</v>
      </c>
      <c r="BW113" s="4">
        <f t="shared" si="7"/>
        <v>0</v>
      </c>
      <c r="BX113" s="4">
        <f t="shared" si="8"/>
        <v>0</v>
      </c>
      <c r="BY113" s="16">
        <v>14.95</v>
      </c>
      <c r="BZ113" s="18">
        <f t="shared" si="9"/>
        <v>0</v>
      </c>
      <c r="EK113" s="10"/>
      <c r="ES113" s="101" t="str">
        <f>""</f>
        <v/>
      </c>
      <c r="ET113" s="541"/>
      <c r="EU113" s="541"/>
      <c r="EV113" s="541"/>
      <c r="EW113" s="76" t="str">
        <f ca="1"/>
        <v>Left side</v>
      </c>
      <c r="EX113" s="6" t="s">
        <v>25</v>
      </c>
      <c r="EY113" s="12" t="s">
        <v>151</v>
      </c>
      <c r="EZ113" s="12"/>
      <c r="FA113" s="18"/>
    </row>
    <row r="114" spans="1:157" s="4" customFormat="1" ht="15" hidden="1" customHeight="1" thickBot="1" x14ac:dyDescent="0.3">
      <c r="A114" s="629"/>
      <c r="B114" s="630"/>
      <c r="C114" s="377" t="s">
        <v>159</v>
      </c>
      <c r="D114" s="379"/>
      <c r="E114" s="379"/>
      <c r="F114" s="379"/>
      <c r="G114" s="379"/>
      <c r="H114" s="260">
        <f ca="1">IF(ISERROR(Q114),1,0)</f>
        <v>0</v>
      </c>
      <c r="I114" s="111"/>
      <c r="J114" s="111"/>
      <c r="K114" s="111"/>
      <c r="L114" s="265"/>
      <c r="M114" s="434" t="s">
        <v>360</v>
      </c>
      <c r="N114" s="435"/>
      <c r="O114" s="435"/>
      <c r="P114" s="435"/>
      <c r="Q114" s="436" t="str">
        <f ca="1">VLOOKUP(E19,EW67:EW147,1,FALSE)</f>
        <v>One-way draw</v>
      </c>
      <c r="R114" s="351"/>
      <c r="S114" s="351"/>
      <c r="T114" s="351"/>
      <c r="U114" s="351"/>
      <c r="V114" s="26"/>
      <c r="AE114" s="582" t="s">
        <v>8</v>
      </c>
      <c r="AF114" s="403"/>
      <c r="AG114" s="404"/>
      <c r="AH114" s="636" t="s">
        <v>181</v>
      </c>
      <c r="AI114" s="637"/>
      <c r="AJ114" s="638"/>
      <c r="AL114" s="93" t="s">
        <v>185</v>
      </c>
      <c r="AQ114" s="583">
        <v>1</v>
      </c>
      <c r="AR114" s="394" t="str">
        <f ca="1">'Forest FES-Wave Mobile'!AA58</f>
        <v>M</v>
      </c>
      <c r="AS114" s="394"/>
      <c r="AT114" s="395"/>
      <c r="AV114" s="23">
        <v>17</v>
      </c>
      <c r="AW114" s="6"/>
      <c r="AX114" s="1"/>
      <c r="AY114" s="1"/>
      <c r="BC114" s="6" t="str">
        <f ca="1"/>
        <v>DS-XL</v>
      </c>
      <c r="BH114" s="7"/>
      <c r="BJ114" s="6" t="str">
        <f ca="1"/>
        <v>DS</v>
      </c>
      <c r="BO114" s="7"/>
      <c r="BR114" s="19">
        <v>16</v>
      </c>
      <c r="BS114" s="1">
        <v>14.7</v>
      </c>
      <c r="BT114" s="1">
        <v>14.39</v>
      </c>
      <c r="BU114" s="1">
        <v>12.9</v>
      </c>
      <c r="BV114" s="12">
        <f t="shared" si="6"/>
        <v>0</v>
      </c>
      <c r="BW114" s="4">
        <f t="shared" si="7"/>
        <v>0</v>
      </c>
      <c r="BX114" s="4">
        <f t="shared" si="8"/>
        <v>12.9</v>
      </c>
      <c r="BY114" s="16">
        <v>15.95</v>
      </c>
      <c r="BZ114" s="18">
        <f>IF($E$27=BR114,BY114,0)</f>
        <v>15.95</v>
      </c>
      <c r="EK114" s="10"/>
      <c r="ES114" s="101" t="str">
        <f>""</f>
        <v/>
      </c>
      <c r="ET114" s="541"/>
      <c r="EU114" s="541"/>
      <c r="EV114" s="541"/>
      <c r="EW114" s="76" t="str">
        <f ca="1"/>
        <v>Right side</v>
      </c>
      <c r="EX114" s="6" t="s">
        <v>26</v>
      </c>
      <c r="EY114" s="12" t="s">
        <v>152</v>
      </c>
      <c r="EZ114" s="12"/>
      <c r="FA114" s="18"/>
    </row>
    <row r="115" spans="1:157" s="4" customFormat="1" hidden="1" x14ac:dyDescent="0.25">
      <c r="A115" s="625" t="s">
        <v>16</v>
      </c>
      <c r="B115" s="626"/>
      <c r="C115" s="415" t="s">
        <v>357</v>
      </c>
      <c r="D115" s="416"/>
      <c r="E115" s="416"/>
      <c r="F115" s="416"/>
      <c r="G115" s="416"/>
      <c r="H115" s="12">
        <f ca="1">IF(P57=0,0,IF(E21="",1,0))</f>
        <v>0</v>
      </c>
      <c r="I115" s="95"/>
      <c r="J115" s="95"/>
      <c r="K115" s="95"/>
      <c r="L115" s="38"/>
      <c r="M115" s="6"/>
      <c r="Q115" s="6"/>
      <c r="V115" s="163"/>
      <c r="AL115" s="93" t="s">
        <v>186</v>
      </c>
      <c r="AQ115" s="391"/>
      <c r="AR115" s="405" t="str">
        <f ca="1">'Forest FES-Wave Mobile'!AA59</f>
        <v>R</v>
      </c>
      <c r="AS115" s="405"/>
      <c r="AT115" s="406"/>
      <c r="AV115" s="23">
        <v>18</v>
      </c>
      <c r="AW115" s="6"/>
      <c r="BC115" s="6" t="str">
        <f ca="1"/>
        <v>DS-XL Corded</v>
      </c>
      <c r="BH115" s="7"/>
      <c r="BJ115" s="6" t="str">
        <f ca="1"/>
        <v>DS-XL</v>
      </c>
      <c r="BO115" s="7"/>
      <c r="BR115" s="19">
        <v>17</v>
      </c>
      <c r="BS115" s="1">
        <v>15.8</v>
      </c>
      <c r="BT115" s="1">
        <v>15.5</v>
      </c>
      <c r="BU115" s="1">
        <v>14.16</v>
      </c>
      <c r="BV115" s="12">
        <f t="shared" si="6"/>
        <v>0</v>
      </c>
      <c r="BW115" s="4">
        <f t="shared" si="7"/>
        <v>0</v>
      </c>
      <c r="BX115" s="4">
        <f t="shared" si="8"/>
        <v>0</v>
      </c>
      <c r="BY115" s="16">
        <v>16.95</v>
      </c>
      <c r="BZ115" s="18">
        <f t="shared" si="9"/>
        <v>0</v>
      </c>
      <c r="EK115" s="10"/>
      <c r="ES115" s="101" t="str">
        <f>""</f>
        <v/>
      </c>
      <c r="ET115" s="541"/>
      <c r="EU115" s="541"/>
      <c r="EV115" s="541"/>
      <c r="EW115" s="76" t="str">
        <f ca="1"/>
        <v>Control side</v>
      </c>
      <c r="EX115" s="6" t="s">
        <v>28</v>
      </c>
      <c r="EY115" s="12" t="s">
        <v>153</v>
      </c>
      <c r="EZ115" s="12"/>
      <c r="FA115" s="18"/>
    </row>
    <row r="116" spans="1:157" s="4" customFormat="1" ht="15.75" hidden="1" thickBot="1" x14ac:dyDescent="0.3">
      <c r="A116" s="629"/>
      <c r="B116" s="630"/>
      <c r="C116" s="377" t="s">
        <v>159</v>
      </c>
      <c r="D116" s="379"/>
      <c r="E116" s="379"/>
      <c r="F116" s="379"/>
      <c r="G116" s="379"/>
      <c r="H116" s="260">
        <f ca="1">IF(P57=1,IF(ISERROR(Q116),1,0),0)</f>
        <v>0</v>
      </c>
      <c r="I116" s="111"/>
      <c r="J116" s="111"/>
      <c r="K116" s="111"/>
      <c r="L116" s="265"/>
      <c r="M116" s="434" t="s">
        <v>360</v>
      </c>
      <c r="N116" s="435"/>
      <c r="O116" s="435"/>
      <c r="P116" s="435"/>
      <c r="Q116" s="436" t="str">
        <f ca="1">VLOOKUP(E21,EW67:EW147,1,FALSE)</f>
        <v>Steel</v>
      </c>
      <c r="R116" s="351"/>
      <c r="S116" s="351"/>
      <c r="T116" s="351"/>
      <c r="U116" s="351"/>
      <c r="V116" s="26"/>
      <c r="AE116" s="10"/>
      <c r="AF116" s="10"/>
      <c r="AG116" s="10"/>
      <c r="AH116" s="10"/>
      <c r="AI116" s="10"/>
      <c r="AK116" s="51"/>
      <c r="AL116" s="93" t="s">
        <v>187</v>
      </c>
      <c r="AM116" s="51"/>
      <c r="AQ116" s="391">
        <v>2</v>
      </c>
      <c r="AR116" s="405" t="str">
        <f ca="1">'Forest FES-Wave Mobile'!AA60</f>
        <v>L</v>
      </c>
      <c r="AS116" s="405"/>
      <c r="AT116" s="406"/>
      <c r="AV116" s="20">
        <v>19</v>
      </c>
      <c r="BC116" s="6" t="str">
        <f ca="1"/>
        <v>DS-XL LED</v>
      </c>
      <c r="BH116" s="7"/>
      <c r="BJ116" s="6" t="str">
        <f ca="1"/>
        <v>DS-XL Corded</v>
      </c>
      <c r="BO116" s="7"/>
      <c r="BR116" s="19">
        <v>18</v>
      </c>
      <c r="BS116" s="1">
        <v>16.87</v>
      </c>
      <c r="BT116" s="1">
        <v>16.600000000000001</v>
      </c>
      <c r="BU116" s="1">
        <v>15.4</v>
      </c>
      <c r="BV116" s="12">
        <f t="shared" si="6"/>
        <v>0</v>
      </c>
      <c r="BW116" s="4">
        <f t="shared" si="7"/>
        <v>0</v>
      </c>
      <c r="BX116" s="4">
        <f t="shared" si="8"/>
        <v>0</v>
      </c>
      <c r="BY116" s="16">
        <v>17.95</v>
      </c>
      <c r="BZ116" s="18">
        <f t="shared" si="9"/>
        <v>0</v>
      </c>
      <c r="EK116" s="10"/>
      <c r="ES116" s="101" t="str">
        <f>""</f>
        <v/>
      </c>
      <c r="ET116" s="541"/>
      <c r="EU116" s="541"/>
      <c r="EV116" s="541"/>
      <c r="EW116" s="77" t="str">
        <f ca="1"/>
        <v>Return side</v>
      </c>
      <c r="EX116" s="58" t="s">
        <v>24</v>
      </c>
      <c r="EY116" s="60" t="s">
        <v>150</v>
      </c>
      <c r="EZ116" s="60"/>
      <c r="FA116" s="65"/>
    </row>
    <row r="117" spans="1:157" s="4" customFormat="1" ht="15.75" hidden="1" thickBot="1" x14ac:dyDescent="0.3">
      <c r="A117" s="625" t="s">
        <v>353</v>
      </c>
      <c r="B117" s="626"/>
      <c r="C117" s="415" t="s">
        <v>357</v>
      </c>
      <c r="D117" s="416"/>
      <c r="E117" s="416"/>
      <c r="F117" s="416"/>
      <c r="G117" s="416"/>
      <c r="H117" s="85">
        <f ca="1">IF(E11=A76,IF(E23="",1,0),0)</f>
        <v>0</v>
      </c>
      <c r="I117" s="97"/>
      <c r="J117" s="95"/>
      <c r="K117" s="95"/>
      <c r="L117" s="38"/>
      <c r="AH117" s="10"/>
      <c r="AI117" s="10"/>
      <c r="AK117" s="29"/>
      <c r="AL117" s="94" t="s">
        <v>188</v>
      </c>
      <c r="AM117" s="52"/>
      <c r="AQ117" s="391"/>
      <c r="AR117" s="405" t="str">
        <f ca="1">'Forest FES-Wave Mobile'!AA61</f>
        <v>R</v>
      </c>
      <c r="AS117" s="405"/>
      <c r="AT117" s="406"/>
      <c r="AV117" s="20">
        <v>20</v>
      </c>
      <c r="BC117" s="6" t="str">
        <f ca="1"/>
        <v>DS-XL LED Motorised</v>
      </c>
      <c r="BH117" s="7"/>
      <c r="BJ117" s="6" t="str">
        <f ca="1"/>
        <v>DS-XL LED</v>
      </c>
      <c r="BO117" s="7"/>
      <c r="BR117" s="19">
        <v>19</v>
      </c>
      <c r="BS117" s="1">
        <v>17.899999999999999</v>
      </c>
      <c r="BT117" s="1">
        <v>17.68</v>
      </c>
      <c r="BU117" s="1">
        <v>16.5</v>
      </c>
      <c r="BV117" s="12">
        <f t="shared" si="6"/>
        <v>0</v>
      </c>
      <c r="BW117" s="4">
        <f t="shared" si="7"/>
        <v>0</v>
      </c>
      <c r="BX117" s="4">
        <f t="shared" si="8"/>
        <v>0</v>
      </c>
      <c r="BY117" s="16">
        <v>18.96</v>
      </c>
      <c r="BZ117" s="18">
        <f t="shared" si="9"/>
        <v>0</v>
      </c>
      <c r="ES117" s="101" t="str">
        <f>""</f>
        <v/>
      </c>
      <c r="ET117" s="305" t="s">
        <v>110</v>
      </c>
      <c r="EU117" s="305"/>
      <c r="EV117" s="305"/>
      <c r="EW117" s="79" t="str">
        <f ca="1"/>
        <v>Language:</v>
      </c>
      <c r="EX117" s="61" t="s">
        <v>111</v>
      </c>
      <c r="EY117" s="62" t="s">
        <v>86</v>
      </c>
      <c r="EZ117" s="62"/>
      <c r="FA117" s="67"/>
    </row>
    <row r="118" spans="1:157" s="4" customFormat="1" ht="15.75" hidden="1" customHeight="1" x14ac:dyDescent="0.25">
      <c r="A118" s="627"/>
      <c r="B118" s="628"/>
      <c r="C118" s="559" t="s">
        <v>358</v>
      </c>
      <c r="D118" s="308"/>
      <c r="E118" s="308"/>
      <c r="F118" s="308"/>
      <c r="G118" s="308"/>
      <c r="H118" s="89">
        <f>IF(ISTEXT(E23)=TRUE,1,0)</f>
        <v>0</v>
      </c>
      <c r="I118" s="98"/>
      <c r="J118" s="95"/>
      <c r="K118" s="95"/>
      <c r="L118" s="38"/>
      <c r="AK118" s="157"/>
      <c r="AL118" s="52"/>
      <c r="AM118" s="52"/>
      <c r="AQ118" s="391">
        <v>3</v>
      </c>
      <c r="AR118" s="405" t="str">
        <f ca="1">'Forest FES-Wave Mobile'!AA62</f>
        <v>C</v>
      </c>
      <c r="AS118" s="405"/>
      <c r="AT118" s="406"/>
      <c r="AV118" s="20">
        <v>21</v>
      </c>
      <c r="AW118" s="10"/>
      <c r="BC118" s="6" t="str">
        <f ca="1"/>
        <v>DS-XL Motorised</v>
      </c>
      <c r="BH118" s="7"/>
      <c r="BJ118" s="6" t="str">
        <f ca="1"/>
        <v>DS-XL LED Motorised</v>
      </c>
      <c r="BO118" s="7"/>
      <c r="BR118" s="19">
        <v>20</v>
      </c>
      <c r="BS118" s="1">
        <v>18.989999999999998</v>
      </c>
      <c r="BT118" s="1">
        <v>18.75</v>
      </c>
      <c r="BU118" s="1">
        <v>17.68</v>
      </c>
      <c r="BV118" s="12">
        <f t="shared" si="6"/>
        <v>0</v>
      </c>
      <c r="BW118" s="4">
        <f t="shared" si="7"/>
        <v>0</v>
      </c>
      <c r="BX118" s="4">
        <f t="shared" si="8"/>
        <v>0</v>
      </c>
      <c r="BY118" s="16">
        <v>19.96</v>
      </c>
      <c r="BZ118" s="18">
        <f t="shared" si="9"/>
        <v>0</v>
      </c>
      <c r="ES118" s="101" t="str">
        <f>""</f>
        <v/>
      </c>
      <c r="ET118" s="541" t="s">
        <v>114</v>
      </c>
      <c r="EU118" s="541"/>
      <c r="EV118" s="541"/>
      <c r="EW118" s="78" t="str">
        <f ca="1"/>
        <v>*  In combination with 'Easyflex hook fitter 9900000017'.</v>
      </c>
      <c r="EX118" s="55" t="s">
        <v>173</v>
      </c>
      <c r="EY118" s="57" t="s">
        <v>172</v>
      </c>
      <c r="EZ118" s="12"/>
      <c r="FA118" s="18"/>
    </row>
    <row r="119" spans="1:157" s="4" customFormat="1" ht="15.75" hidden="1" thickBot="1" x14ac:dyDescent="0.3">
      <c r="A119" s="627"/>
      <c r="B119" s="628"/>
      <c r="C119" s="559" t="s">
        <v>69</v>
      </c>
      <c r="D119" s="308"/>
      <c r="E119" s="308"/>
      <c r="F119" s="308"/>
      <c r="G119" s="308"/>
      <c r="H119" s="89">
        <f ca="1">IF(E11=A76,IF(E19=AW105,1,0),0)</f>
        <v>0</v>
      </c>
      <c r="I119" s="96"/>
      <c r="J119" s="95"/>
      <c r="K119" s="95"/>
      <c r="L119" s="38"/>
      <c r="AK119" s="53"/>
      <c r="AL119" s="52"/>
      <c r="AM119" s="52"/>
      <c r="AQ119" s="392"/>
      <c r="AR119" s="403" t="str">
        <f ca="1">'Forest FES-Wave Mobile'!AA63</f>
        <v>R</v>
      </c>
      <c r="AS119" s="403"/>
      <c r="AT119" s="404"/>
      <c r="AV119" s="20">
        <v>22</v>
      </c>
      <c r="AW119" s="10"/>
      <c r="BC119" s="6" t="str">
        <f ca="1"/>
        <v>FMS (Shuttle)</v>
      </c>
      <c r="BH119" s="7"/>
      <c r="BJ119" s="6" t="str">
        <f ca="1"/>
        <v>DS-XL Motorised</v>
      </c>
      <c r="BO119" s="7"/>
      <c r="BR119" s="19">
        <v>21</v>
      </c>
      <c r="BS119" s="1">
        <v>20.05</v>
      </c>
      <c r="BT119" s="1">
        <v>19.809999999999999</v>
      </c>
      <c r="BU119" s="1">
        <v>18.8</v>
      </c>
      <c r="BV119" s="12">
        <f t="shared" si="6"/>
        <v>0</v>
      </c>
      <c r="BW119" s="4">
        <f t="shared" si="7"/>
        <v>0</v>
      </c>
      <c r="BX119" s="4">
        <f t="shared" si="8"/>
        <v>0</v>
      </c>
      <c r="BY119" s="16">
        <v>20.96</v>
      </c>
      <c r="BZ119" s="18">
        <f t="shared" si="9"/>
        <v>0</v>
      </c>
      <c r="ES119" s="101" t="str">
        <f>""</f>
        <v/>
      </c>
      <c r="ET119" s="541"/>
      <c r="EU119" s="541"/>
      <c r="EV119" s="541"/>
      <c r="EW119" s="76" t="str">
        <f ca="1"/>
        <v>** Includes carriers that are placed inside master carriers.</v>
      </c>
      <c r="EX119" s="6" t="s">
        <v>83</v>
      </c>
      <c r="EY119" s="12" t="s">
        <v>170</v>
      </c>
      <c r="EZ119" s="12"/>
      <c r="FA119" s="18"/>
    </row>
    <row r="120" spans="1:157" s="4" customFormat="1" ht="17.25" hidden="1" customHeight="1" x14ac:dyDescent="0.25">
      <c r="A120" s="627"/>
      <c r="B120" s="628"/>
      <c r="C120" s="559" t="s">
        <v>67</v>
      </c>
      <c r="D120" s="308"/>
      <c r="E120" s="308"/>
      <c r="F120" s="308"/>
      <c r="G120" s="308"/>
      <c r="H120" s="89">
        <f ca="1">IF(E11=A76,IF(E23&lt;(0-(AH108-(U57+W57))),1,0),0)</f>
        <v>0</v>
      </c>
      <c r="I120" s="96"/>
      <c r="J120" s="95"/>
      <c r="K120" s="95"/>
      <c r="L120" s="38"/>
      <c r="AK120" s="53"/>
      <c r="AL120" s="52"/>
      <c r="AM120" s="52"/>
      <c r="AV120" s="30">
        <v>23</v>
      </c>
      <c r="AW120" s="10"/>
      <c r="BC120" s="6" t="str">
        <f ca="1"/>
        <v>FMS Dual</v>
      </c>
      <c r="BH120" s="7"/>
      <c r="BJ120" s="6" t="str">
        <f ca="1"/>
        <v>FMS (Shuttle)</v>
      </c>
      <c r="BO120" s="7"/>
      <c r="BR120" s="19">
        <v>22</v>
      </c>
      <c r="BS120" s="1">
        <v>21.1</v>
      </c>
      <c r="BT120" s="1">
        <v>20.87</v>
      </c>
      <c r="BU120" s="1">
        <v>19.899999999999999</v>
      </c>
      <c r="BV120" s="12">
        <f t="shared" si="6"/>
        <v>0</v>
      </c>
      <c r="BW120" s="4">
        <f t="shared" si="7"/>
        <v>0</v>
      </c>
      <c r="BX120" s="4">
        <f t="shared" si="8"/>
        <v>0</v>
      </c>
      <c r="BY120" s="16">
        <v>21.96</v>
      </c>
      <c r="BZ120" s="18">
        <f t="shared" si="9"/>
        <v>0</v>
      </c>
      <c r="ES120" s="101" t="str">
        <f>""</f>
        <v/>
      </c>
      <c r="ET120" s="541"/>
      <c r="EU120" s="541"/>
      <c r="EV120" s="541"/>
      <c r="EW120" s="76" t="str">
        <f ca="1"/>
        <v>*** Always measured from the left side, only for hand operated curtains.</v>
      </c>
      <c r="EX120" s="6" t="s">
        <v>155</v>
      </c>
      <c r="EY120" s="12" t="s">
        <v>171</v>
      </c>
      <c r="EZ120" s="12"/>
      <c r="FA120" s="18"/>
    </row>
    <row r="121" spans="1:157" s="4" customFormat="1" ht="15.75" hidden="1" thickBot="1" x14ac:dyDescent="0.3">
      <c r="A121" s="629"/>
      <c r="B121" s="630"/>
      <c r="C121" s="614" t="s">
        <v>68</v>
      </c>
      <c r="D121" s="413"/>
      <c r="E121" s="413"/>
      <c r="F121" s="413"/>
      <c r="G121" s="413"/>
      <c r="H121" s="267">
        <f ca="1">IF(E11=A76,IF(E23&gt;(AH108-(U57+W57)),1,0),0)</f>
        <v>0</v>
      </c>
      <c r="I121" s="111"/>
      <c r="J121" s="111"/>
      <c r="K121" s="111"/>
      <c r="L121" s="265"/>
      <c r="AV121" s="21" t="s">
        <v>14</v>
      </c>
      <c r="AW121" s="10"/>
      <c r="BC121" s="6" t="str">
        <f ca="1"/>
        <v>FMS Plus</v>
      </c>
      <c r="BH121" s="7"/>
      <c r="BJ121" s="6" t="str">
        <f ca="1"/>
        <v>FMS Dual</v>
      </c>
      <c r="BO121" s="7"/>
      <c r="BR121" s="19">
        <v>23</v>
      </c>
      <c r="BS121" s="1">
        <v>22.1</v>
      </c>
      <c r="BT121" s="1">
        <v>21.92</v>
      </c>
      <c r="BU121" s="1">
        <v>21.03</v>
      </c>
      <c r="BV121" s="12">
        <f t="shared" si="6"/>
        <v>0</v>
      </c>
      <c r="BW121" s="4">
        <f t="shared" si="7"/>
        <v>0</v>
      </c>
      <c r="BX121" s="4">
        <f t="shared" si="8"/>
        <v>0</v>
      </c>
      <c r="BY121" s="16">
        <v>22.96</v>
      </c>
      <c r="BZ121" s="18">
        <f t="shared" si="9"/>
        <v>0</v>
      </c>
      <c r="ES121" s="101" t="str">
        <f>""</f>
        <v/>
      </c>
      <c r="ET121" s="541"/>
      <c r="EU121" s="541"/>
      <c r="EV121" s="541"/>
      <c r="EW121" s="76" t="str">
        <f ca="1"/>
        <v>- Product tolerances are calculated in the final results.</v>
      </c>
      <c r="EX121" s="63" t="s">
        <v>29</v>
      </c>
      <c r="EY121" s="85" t="s">
        <v>154</v>
      </c>
      <c r="EZ121" s="12"/>
      <c r="FA121" s="18"/>
    </row>
    <row r="122" spans="1:157" s="4" customFormat="1" ht="15.75" hidden="1" thickBot="1" x14ac:dyDescent="0.3">
      <c r="A122" s="625" t="s">
        <v>355</v>
      </c>
      <c r="B122" s="626"/>
      <c r="C122" s="559" t="s">
        <v>358</v>
      </c>
      <c r="D122" s="308"/>
      <c r="E122" s="308"/>
      <c r="F122" s="308"/>
      <c r="G122" s="308"/>
      <c r="H122" s="90"/>
      <c r="I122" s="97"/>
      <c r="J122" s="4">
        <f>IF(ISTEXT(E25)=TRUE,1,0)</f>
        <v>0</v>
      </c>
      <c r="K122" s="95"/>
      <c r="L122" s="38"/>
      <c r="V122" s="1"/>
      <c r="BC122" s="6" t="str">
        <f ca="1"/>
        <v>FMS Plus Recess</v>
      </c>
      <c r="BH122" s="7"/>
      <c r="BJ122" s="6" t="str">
        <f ca="1"/>
        <v>FMS Plus</v>
      </c>
      <c r="BO122" s="7"/>
      <c r="BR122" s="17"/>
      <c r="BS122" s="2"/>
      <c r="BT122" s="2"/>
      <c r="BU122" s="2"/>
      <c r="BV122" s="554">
        <f ca="1">IF(CL78=A76,ROUNDUP(SUM(BV106:BX121),0)+5,ROUNDUP(SUM(BV106:BX121),0))</f>
        <v>13</v>
      </c>
      <c r="BW122" s="645"/>
      <c r="BX122" s="555"/>
      <c r="BY122" s="554">
        <f ca="1">IF(CL78=G104,ROUNDUP(SUM(BZ106:BZ121),0)+5,ROUNDUP(SUM(BZ106:BZ121),0))</f>
        <v>16</v>
      </c>
      <c r="BZ122" s="555"/>
      <c r="ES122" s="101" t="str">
        <f>""</f>
        <v/>
      </c>
      <c r="ET122" s="541"/>
      <c r="EU122" s="541"/>
      <c r="EV122" s="541"/>
      <c r="EW122" s="76" t="str">
        <f ca="1"/>
        <v>- No rights can be derived from this calculation tool.</v>
      </c>
      <c r="EX122" s="63" t="s">
        <v>19</v>
      </c>
      <c r="EY122" s="85" t="s">
        <v>157</v>
      </c>
      <c r="EZ122" s="12"/>
      <c r="FA122" s="18"/>
    </row>
    <row r="123" spans="1:157" s="4" customFormat="1" ht="15.75" hidden="1" thickBot="1" x14ac:dyDescent="0.3">
      <c r="A123" s="627"/>
      <c r="B123" s="628"/>
      <c r="C123" s="559" t="s">
        <v>345</v>
      </c>
      <c r="D123" s="308"/>
      <c r="E123" s="308"/>
      <c r="F123" s="308"/>
      <c r="G123" s="308"/>
      <c r="H123" s="90"/>
      <c r="I123" s="97"/>
      <c r="J123" s="4">
        <f>IF(E25*2=E13,1,0)</f>
        <v>0</v>
      </c>
      <c r="K123" s="95"/>
      <c r="L123" s="38"/>
      <c r="V123" s="1"/>
      <c r="BC123" s="6" t="str">
        <f ca="1"/>
        <v>KS</v>
      </c>
      <c r="BH123" s="7"/>
      <c r="BJ123" s="6" t="str">
        <f ca="1"/>
        <v>FMS Plus Recess</v>
      </c>
      <c r="BO123" s="7"/>
      <c r="ES123" s="101" t="str">
        <f>""</f>
        <v/>
      </c>
      <c r="ET123" s="541"/>
      <c r="EU123" s="541"/>
      <c r="EV123" s="541"/>
      <c r="EW123" s="77" t="str">
        <f ca="1"/>
        <v>! The user interface is not working optimally; please use Microsoft Excel 2021 or later.</v>
      </c>
      <c r="EX123" s="64" t="s">
        <v>285</v>
      </c>
      <c r="EY123" s="84" t="s">
        <v>286</v>
      </c>
      <c r="EZ123" s="60"/>
      <c r="FA123" s="65"/>
    </row>
    <row r="124" spans="1:157" s="4" customFormat="1" hidden="1" x14ac:dyDescent="0.25">
      <c r="A124" s="627"/>
      <c r="B124" s="628"/>
      <c r="C124" s="559" t="s">
        <v>72</v>
      </c>
      <c r="D124" s="308"/>
      <c r="E124" s="308"/>
      <c r="F124" s="308"/>
      <c r="G124" s="308"/>
      <c r="H124" s="88"/>
      <c r="I124" s="97"/>
      <c r="J124" s="4">
        <f>IF(E25&lt;Q124,1,0)</f>
        <v>1</v>
      </c>
      <c r="K124" s="95"/>
      <c r="L124" s="38"/>
      <c r="M124" s="531" t="s">
        <v>361</v>
      </c>
      <c r="N124" s="531"/>
      <c r="O124" s="531"/>
      <c r="P124" s="531"/>
      <c r="Q124" s="269">
        <v>5</v>
      </c>
      <c r="R124" s="4" t="s">
        <v>162</v>
      </c>
      <c r="V124" s="1"/>
      <c r="BC124" s="6" t="str">
        <f ca="1"/>
        <v>KS Recess</v>
      </c>
      <c r="BH124" s="7"/>
      <c r="BJ124" s="6" t="str">
        <f ca="1"/>
        <v>KS</v>
      </c>
      <c r="BO124" s="7"/>
      <c r="ES124" s="101" t="str">
        <f>""</f>
        <v/>
      </c>
      <c r="ET124" s="541" t="s">
        <v>156</v>
      </c>
      <c r="EU124" s="541"/>
      <c r="EV124" s="549"/>
      <c r="EW124" s="76" t="str">
        <f ca="1"/>
        <v>FMS (Shuttle)</v>
      </c>
      <c r="EX124" s="71" t="s">
        <v>34</v>
      </c>
      <c r="EY124" s="71" t="s">
        <v>34</v>
      </c>
      <c r="EZ124" s="73"/>
      <c r="FA124" s="18"/>
    </row>
    <row r="125" spans="1:157" s="4" customFormat="1" ht="15.75" hidden="1" thickBot="1" x14ac:dyDescent="0.3">
      <c r="A125" s="627"/>
      <c r="B125" s="628"/>
      <c r="C125" s="559" t="s">
        <v>74</v>
      </c>
      <c r="D125" s="308"/>
      <c r="E125" s="308"/>
      <c r="F125" s="308"/>
      <c r="G125" s="308"/>
      <c r="H125" s="88"/>
      <c r="I125" s="97"/>
      <c r="J125" s="4">
        <f ca="1">IF(E25&gt;(AH108-Q125),1,0)</f>
        <v>0</v>
      </c>
      <c r="K125" s="95"/>
      <c r="L125" s="38"/>
      <c r="M125" s="620" t="s">
        <v>362</v>
      </c>
      <c r="N125" s="531"/>
      <c r="O125" s="531"/>
      <c r="P125" s="644"/>
      <c r="Q125" s="196">
        <v>5</v>
      </c>
      <c r="R125" s="4" t="s">
        <v>162</v>
      </c>
      <c r="V125" s="1"/>
      <c r="BC125" s="6" t="str">
        <f ca="1"/>
        <v>MRS</v>
      </c>
      <c r="BH125" s="7"/>
      <c r="BJ125" s="6" t="str">
        <f ca="1"/>
        <v>KS Recess</v>
      </c>
      <c r="BO125" s="7"/>
      <c r="ES125" s="101" t="str">
        <f>""</f>
        <v/>
      </c>
      <c r="ET125" s="541"/>
      <c r="EU125" s="541"/>
      <c r="EV125" s="549"/>
      <c r="EW125" s="80" t="str">
        <f ca="1"/>
        <v>FMS Plus</v>
      </c>
      <c r="EX125" s="71" t="s">
        <v>35</v>
      </c>
      <c r="EY125" s="71" t="s">
        <v>35</v>
      </c>
      <c r="EZ125" s="73"/>
      <c r="FA125" s="18"/>
    </row>
    <row r="126" spans="1:157" s="4" customFormat="1" ht="15.75" hidden="1" thickBot="1" x14ac:dyDescent="0.3">
      <c r="A126" s="627"/>
      <c r="B126" s="628"/>
      <c r="C126" s="559" t="s">
        <v>268</v>
      </c>
      <c r="D126" s="308"/>
      <c r="E126" s="308"/>
      <c r="F126" s="308"/>
      <c r="G126" s="308"/>
      <c r="H126" s="88"/>
      <c r="I126" s="97"/>
      <c r="J126" s="4">
        <f ca="1">IF(K57=1,0,1)</f>
        <v>1</v>
      </c>
      <c r="K126" s="95"/>
      <c r="L126" s="38"/>
      <c r="V126" s="1"/>
      <c r="BC126" s="17" t="str">
        <f ca="1"/>
        <v>MRS Universal</v>
      </c>
      <c r="BD126" s="159"/>
      <c r="BE126" s="159"/>
      <c r="BF126" s="159"/>
      <c r="BG126" s="8"/>
      <c r="BH126" s="9"/>
      <c r="BJ126" s="6" t="str">
        <f ca="1"/>
        <v>MRS</v>
      </c>
      <c r="BO126" s="7"/>
      <c r="ES126" s="101" t="str">
        <f>""</f>
        <v/>
      </c>
      <c r="ET126" s="541"/>
      <c r="EU126" s="541"/>
      <c r="EV126" s="549"/>
      <c r="EW126" s="80" t="str">
        <f ca="1"/>
        <v>FMS Plus Recess</v>
      </c>
      <c r="EX126" s="71" t="s">
        <v>60</v>
      </c>
      <c r="EY126" s="71" t="s">
        <v>120</v>
      </c>
      <c r="EZ126" s="73"/>
      <c r="FA126" s="18"/>
    </row>
    <row r="127" spans="1:157" s="4" customFormat="1" ht="15.75" hidden="1" customHeight="1" thickBot="1" x14ac:dyDescent="0.3">
      <c r="A127" s="627"/>
      <c r="B127" s="628"/>
      <c r="C127" s="559" t="s">
        <v>81</v>
      </c>
      <c r="D127" s="308"/>
      <c r="E127" s="308"/>
      <c r="F127" s="308"/>
      <c r="G127" s="308"/>
      <c r="H127" s="263"/>
      <c r="I127" s="266"/>
      <c r="J127" s="8">
        <f ca="1">IF(E19=AW105,1,0)</f>
        <v>1</v>
      </c>
      <c r="K127" s="111"/>
      <c r="L127" s="265"/>
      <c r="V127" s="1"/>
      <c r="BC127" s="1"/>
      <c r="BD127" s="13"/>
      <c r="BE127" s="13"/>
      <c r="BF127" s="13"/>
      <c r="BJ127" s="14" t="str">
        <f ca="1"/>
        <v>MRS Universal</v>
      </c>
      <c r="BK127" s="8"/>
      <c r="BL127" s="8"/>
      <c r="BM127" s="8"/>
      <c r="BN127" s="8"/>
      <c r="BO127" s="9"/>
      <c r="ES127" s="101" t="str">
        <f>""</f>
        <v/>
      </c>
      <c r="ET127" s="541"/>
      <c r="EU127" s="541"/>
      <c r="EV127" s="549"/>
      <c r="EW127" s="80" t="str">
        <f ca="1"/>
        <v>MRS</v>
      </c>
      <c r="EX127" s="71" t="s">
        <v>2</v>
      </c>
      <c r="EY127" s="71" t="s">
        <v>2</v>
      </c>
      <c r="EZ127" s="73"/>
      <c r="FA127" s="18"/>
    </row>
    <row r="128" spans="1:157" s="4" customFormat="1" hidden="1" x14ac:dyDescent="0.25">
      <c r="A128" s="625" t="s">
        <v>354</v>
      </c>
      <c r="B128" s="626"/>
      <c r="C128" s="415" t="s">
        <v>359</v>
      </c>
      <c r="D128" s="416"/>
      <c r="E128" s="416"/>
      <c r="F128" s="416"/>
      <c r="G128" s="416"/>
      <c r="H128" s="88"/>
      <c r="I128" s="10">
        <f>IF(OR(E27="-",E27=""),1,0)</f>
        <v>0</v>
      </c>
      <c r="J128" s="95"/>
      <c r="K128" s="95"/>
      <c r="L128" s="38"/>
      <c r="BF128" s="13"/>
      <c r="BJ128" s="11"/>
      <c r="BM128" s="13"/>
      <c r="ES128" s="101" t="str">
        <f>""</f>
        <v/>
      </c>
      <c r="ET128" s="541"/>
      <c r="EU128" s="541"/>
      <c r="EV128" s="549"/>
      <c r="EW128" s="80" t="str">
        <f ca="1"/>
        <v>CCS</v>
      </c>
      <c r="EX128" s="71" t="s">
        <v>13</v>
      </c>
      <c r="EY128" s="71" t="s">
        <v>13</v>
      </c>
      <c r="EZ128" s="73"/>
      <c r="FA128" s="18"/>
    </row>
    <row r="129" spans="1:157" s="4" customFormat="1" ht="15.75" hidden="1" thickBot="1" x14ac:dyDescent="0.3">
      <c r="A129" s="629"/>
      <c r="B129" s="630"/>
      <c r="C129" s="614" t="s">
        <v>329</v>
      </c>
      <c r="D129" s="413"/>
      <c r="E129" s="413"/>
      <c r="F129" s="413"/>
      <c r="G129" s="413"/>
      <c r="H129" s="263"/>
      <c r="I129" s="264">
        <f>IF(E17=AW96,IF(E27=AV105,1,0),0)</f>
        <v>0</v>
      </c>
      <c r="J129" s="111"/>
      <c r="K129" s="111"/>
      <c r="L129" s="265"/>
      <c r="M129" s="1"/>
      <c r="ES129" s="101" t="str">
        <f>""</f>
        <v/>
      </c>
      <c r="ET129" s="541"/>
      <c r="EU129" s="541"/>
      <c r="EV129" s="549"/>
      <c r="EW129" s="80" t="str">
        <f ca="1"/>
        <v>CRS Corded</v>
      </c>
      <c r="EX129" s="71" t="s">
        <v>59</v>
      </c>
      <c r="EY129" s="71" t="s">
        <v>121</v>
      </c>
      <c r="EZ129" s="73"/>
      <c r="FA129" s="18"/>
    </row>
    <row r="130" spans="1:157" s="4" customFormat="1" hidden="1" x14ac:dyDescent="0.25">
      <c r="A130" s="625" t="s">
        <v>356</v>
      </c>
      <c r="B130" s="626"/>
      <c r="C130" s="559" t="s">
        <v>189</v>
      </c>
      <c r="D130" s="308"/>
      <c r="E130" s="308"/>
      <c r="F130" s="308"/>
      <c r="G130" s="308"/>
      <c r="H130" s="89">
        <f>IF(AK105="",1,0)</f>
        <v>0</v>
      </c>
      <c r="I130" s="96"/>
      <c r="J130" s="95"/>
      <c r="K130" s="95"/>
      <c r="L130" s="38"/>
      <c r="ES130" s="101" t="str">
        <f>""</f>
        <v/>
      </c>
      <c r="ET130" s="541"/>
      <c r="EU130" s="541"/>
      <c r="EV130" s="549"/>
      <c r="EW130" s="80" t="str">
        <f ca="1"/>
        <v>CRS 20</v>
      </c>
      <c r="EX130" s="71" t="s">
        <v>79</v>
      </c>
      <c r="EY130" s="71" t="s">
        <v>79</v>
      </c>
      <c r="EZ130" s="73"/>
      <c r="FA130" s="18"/>
    </row>
    <row r="131" spans="1:157" s="4" customFormat="1" hidden="1" x14ac:dyDescent="0.25">
      <c r="A131" s="627"/>
      <c r="B131" s="628"/>
      <c r="C131" s="559" t="s">
        <v>201</v>
      </c>
      <c r="D131" s="308"/>
      <c r="E131" s="308"/>
      <c r="F131" s="308"/>
      <c r="G131" s="308"/>
      <c r="H131" s="191"/>
      <c r="I131" s="96"/>
      <c r="J131" s="95"/>
      <c r="K131" s="4">
        <f>IF(AK105=AW108,IF(AM107=AL110,0,IF(E13-ROUNDDOWN(E13,0)=0,0,1)),0)</f>
        <v>0</v>
      </c>
      <c r="L131" s="38"/>
      <c r="ES131" s="101" t="str">
        <f>""</f>
        <v/>
      </c>
      <c r="ET131" s="541"/>
      <c r="EU131" s="541"/>
      <c r="EV131" s="549"/>
      <c r="EW131" s="80" t="str">
        <f ca="1"/>
        <v>CRS 28</v>
      </c>
      <c r="EX131" s="71" t="s">
        <v>80</v>
      </c>
      <c r="EY131" s="71" t="s">
        <v>80</v>
      </c>
      <c r="EZ131" s="73"/>
      <c r="FA131" s="18"/>
    </row>
    <row r="132" spans="1:157" s="4" customFormat="1" hidden="1" x14ac:dyDescent="0.25">
      <c r="A132" s="627"/>
      <c r="B132" s="628"/>
      <c r="C132" s="559" t="s">
        <v>282</v>
      </c>
      <c r="D132" s="308"/>
      <c r="E132" s="308"/>
      <c r="F132" s="308"/>
      <c r="G132" s="634"/>
      <c r="H132" s="98"/>
      <c r="I132" s="96"/>
      <c r="J132" s="95"/>
      <c r="K132" s="95"/>
      <c r="L132" s="7">
        <f ca="1">BJ105</f>
        <v>0</v>
      </c>
      <c r="ES132" s="101" t="str">
        <f>""</f>
        <v/>
      </c>
      <c r="ET132" s="541"/>
      <c r="EU132" s="541"/>
      <c r="EV132" s="549"/>
      <c r="EW132" s="80" t="str">
        <f ca="1"/>
        <v>KS</v>
      </c>
      <c r="EX132" s="71" t="s">
        <v>32</v>
      </c>
      <c r="EY132" s="71" t="s">
        <v>32</v>
      </c>
      <c r="EZ132" s="73"/>
      <c r="FA132" s="18"/>
    </row>
    <row r="133" spans="1:157" s="4" customFormat="1" hidden="1" x14ac:dyDescent="0.25">
      <c r="A133" s="627"/>
      <c r="B133" s="628"/>
      <c r="C133" s="631" t="s">
        <v>342</v>
      </c>
      <c r="D133" s="632"/>
      <c r="E133" s="632"/>
      <c r="F133" s="632"/>
      <c r="G133" s="633"/>
      <c r="H133" s="98"/>
      <c r="I133" s="96"/>
      <c r="J133" s="95"/>
      <c r="K133" s="95"/>
      <c r="L133" s="7">
        <f ca="1">BM93</f>
        <v>0</v>
      </c>
      <c r="M133" s="1"/>
      <c r="ES133" s="101" t="str">
        <f>""</f>
        <v/>
      </c>
      <c r="ET133" s="541"/>
      <c r="EU133" s="541"/>
      <c r="EV133" s="549"/>
      <c r="EW133" s="80" t="str">
        <f ca="1"/>
        <v>KS Recess</v>
      </c>
      <c r="EX133" s="71" t="s">
        <v>58</v>
      </c>
      <c r="EY133" s="71" t="s">
        <v>122</v>
      </c>
      <c r="EZ133" s="73"/>
      <c r="FA133" s="18"/>
    </row>
    <row r="134" spans="1:157" s="4" customFormat="1" ht="15.75" hidden="1" thickBot="1" x14ac:dyDescent="0.3">
      <c r="A134" s="629"/>
      <c r="B134" s="630"/>
      <c r="C134" s="614" t="s">
        <v>278</v>
      </c>
      <c r="D134" s="413"/>
      <c r="E134" s="413"/>
      <c r="F134" s="413"/>
      <c r="G134" s="635"/>
      <c r="H134" s="192"/>
      <c r="I134" s="99"/>
      <c r="J134" s="111"/>
      <c r="K134" s="111"/>
      <c r="L134" s="9">
        <f ca="1">BM99</f>
        <v>0</v>
      </c>
      <c r="M134" s="1"/>
      <c r="N134" s="1"/>
      <c r="O134" s="1"/>
      <c r="P134" s="1"/>
      <c r="ES134" s="101" t="str">
        <f>""</f>
        <v/>
      </c>
      <c r="ET134" s="541"/>
      <c r="EU134" s="541"/>
      <c r="EV134" s="549"/>
      <c r="EW134" s="80" t="str">
        <f ca="1"/>
        <v>CS</v>
      </c>
      <c r="EX134" s="71" t="s">
        <v>36</v>
      </c>
      <c r="EY134" s="71" t="s">
        <v>36</v>
      </c>
      <c r="EZ134" s="73"/>
      <c r="FA134" s="18"/>
    </row>
    <row r="135" spans="1:157" s="4" customFormat="1" hidden="1" x14ac:dyDescent="0.25">
      <c r="ES135" s="101" t="str">
        <f>""</f>
        <v/>
      </c>
      <c r="ET135" s="541"/>
      <c r="EU135" s="541"/>
      <c r="EV135" s="549"/>
      <c r="EW135" s="80" t="str">
        <f ca="1"/>
        <v>DS</v>
      </c>
      <c r="EX135" s="71" t="s">
        <v>33</v>
      </c>
      <c r="EY135" s="71" t="s">
        <v>33</v>
      </c>
      <c r="EZ135" s="73"/>
      <c r="FA135" s="18"/>
    </row>
    <row r="136" spans="1:157" s="4" customFormat="1" hidden="1" x14ac:dyDescent="0.25">
      <c r="ES136" s="101" t="str">
        <f>""</f>
        <v/>
      </c>
      <c r="ET136" s="541"/>
      <c r="EU136" s="541"/>
      <c r="EV136" s="549"/>
      <c r="EW136" s="80" t="str">
        <f ca="1"/>
        <v>DS-XL</v>
      </c>
      <c r="EX136" s="71" t="s">
        <v>37</v>
      </c>
      <c r="EY136" s="71" t="s">
        <v>37</v>
      </c>
      <c r="EZ136" s="73"/>
      <c r="FA136" s="18"/>
    </row>
    <row r="137" spans="1:157" s="4" customFormat="1" hidden="1" x14ac:dyDescent="0.25">
      <c r="BQ137" s="13"/>
      <c r="ES137" s="101" t="str">
        <f>""</f>
        <v/>
      </c>
      <c r="ET137" s="541"/>
      <c r="EU137" s="541"/>
      <c r="EV137" s="549"/>
      <c r="EW137" s="80" t="str">
        <f ca="1"/>
        <v>DS-XL Motorised</v>
      </c>
      <c r="EX137" s="71" t="s">
        <v>61</v>
      </c>
      <c r="EY137" s="71" t="s">
        <v>123</v>
      </c>
      <c r="EZ137" s="73"/>
      <c r="FA137" s="18"/>
    </row>
    <row r="138" spans="1:157" s="4" customFormat="1" hidden="1" x14ac:dyDescent="0.25">
      <c r="N138" s="1"/>
      <c r="O138" s="1"/>
      <c r="P138" s="1"/>
      <c r="Q138" s="1"/>
      <c r="BQ138" s="13"/>
      <c r="ES138" s="101" t="str">
        <f>""</f>
        <v/>
      </c>
      <c r="ET138" s="541"/>
      <c r="EU138" s="541"/>
      <c r="EV138" s="549"/>
      <c r="EW138" s="80" t="str">
        <f ca="1"/>
        <v>DS-XL Corded</v>
      </c>
      <c r="EX138" s="71" t="s">
        <v>62</v>
      </c>
      <c r="EY138" s="71" t="s">
        <v>124</v>
      </c>
      <c r="EZ138" s="73"/>
      <c r="FA138" s="18"/>
    </row>
    <row r="139" spans="1:157" s="4" customFormat="1" hidden="1" x14ac:dyDescent="0.25">
      <c r="N139" s="1"/>
      <c r="O139" s="1"/>
      <c r="P139" s="1"/>
      <c r="Q139" s="1"/>
      <c r="BQ139" s="13"/>
      <c r="ES139" s="101" t="str">
        <f>""</f>
        <v/>
      </c>
      <c r="ET139" s="541"/>
      <c r="EU139" s="541"/>
      <c r="EV139" s="549"/>
      <c r="EW139" s="80" t="str">
        <f ca="1"/>
        <v>DS-XL LED</v>
      </c>
      <c r="EX139" s="71" t="s">
        <v>38</v>
      </c>
      <c r="EY139" s="71" t="s">
        <v>38</v>
      </c>
      <c r="EZ139" s="73"/>
      <c r="FA139" s="18"/>
    </row>
    <row r="140" spans="1:157" s="4" customFormat="1" hidden="1" x14ac:dyDescent="0.25">
      <c r="ES140" s="101" t="str">
        <f>""</f>
        <v/>
      </c>
      <c r="ET140" s="541"/>
      <c r="EU140" s="541"/>
      <c r="EV140" s="549"/>
      <c r="EW140" s="80" t="str">
        <f ca="1"/>
        <v>DS-XL LED Motorised</v>
      </c>
      <c r="EX140" s="71" t="s">
        <v>63</v>
      </c>
      <c r="EY140" s="71" t="s">
        <v>125</v>
      </c>
      <c r="EZ140" s="73"/>
      <c r="FA140" s="18"/>
    </row>
    <row r="141" spans="1:157" s="4" customFormat="1" hidden="1" x14ac:dyDescent="0.25">
      <c r="ES141" s="101" t="str">
        <f>""</f>
        <v/>
      </c>
      <c r="ET141" s="541"/>
      <c r="EU141" s="541"/>
      <c r="EV141" s="549"/>
      <c r="EW141" s="80" t="str">
        <f ca="1"/>
        <v>FMS Dual</v>
      </c>
      <c r="EX141" s="71" t="s">
        <v>30</v>
      </c>
      <c r="EY141" s="71" t="s">
        <v>30</v>
      </c>
      <c r="EZ141" s="73"/>
      <c r="FA141" s="18"/>
    </row>
    <row r="142" spans="1:157" s="4" customFormat="1" ht="15" hidden="1" customHeight="1" x14ac:dyDescent="0.25">
      <c r="ES142" s="101" t="str">
        <f>""</f>
        <v/>
      </c>
      <c r="ET142" s="541"/>
      <c r="EU142" s="541"/>
      <c r="EV142" s="549"/>
      <c r="EW142" s="80" t="str">
        <f ca="1"/>
        <v>MRS Universal</v>
      </c>
      <c r="EX142" s="71" t="s">
        <v>53</v>
      </c>
      <c r="EY142" s="71" t="s">
        <v>126</v>
      </c>
      <c r="EZ142" s="73"/>
      <c r="FA142" s="18"/>
    </row>
    <row r="143" spans="1:157" s="4" customFormat="1" ht="15" hidden="1" customHeight="1" x14ac:dyDescent="0.25">
      <c r="W143" s="167"/>
      <c r="Z143" s="10"/>
      <c r="AA143" s="168"/>
      <c r="AB143" s="168"/>
      <c r="AC143" s="168"/>
      <c r="AE143" s="168"/>
      <c r="AF143" s="168"/>
      <c r="AG143" s="168"/>
      <c r="AH143" s="167"/>
      <c r="AI143" s="167"/>
      <c r="AJ143" s="167"/>
      <c r="AK143" s="167"/>
      <c r="BE143" s="169"/>
      <c r="BF143" s="169"/>
      <c r="BG143" s="169"/>
      <c r="BH143" s="170"/>
      <c r="BI143" s="170"/>
      <c r="BJ143" s="170"/>
      <c r="BK143" s="170"/>
      <c r="BL143" s="170"/>
      <c r="BM143" s="170"/>
      <c r="BN143" s="170"/>
      <c r="BO143" s="170"/>
      <c r="BP143" s="170"/>
      <c r="BQ143" s="170"/>
      <c r="BR143" s="169"/>
      <c r="BS143" s="169"/>
      <c r="BT143" s="169"/>
      <c r="BU143" s="169"/>
      <c r="BV143" s="169"/>
      <c r="BW143" s="169"/>
      <c r="ES143" s="101" t="str">
        <f>""</f>
        <v/>
      </c>
      <c r="ET143" s="541"/>
      <c r="EU143" s="541"/>
      <c r="EV143" s="549"/>
      <c r="EW143" s="80" t="str">
        <f ca="1"/>
        <v>CS Recess</v>
      </c>
      <c r="EX143" s="71" t="s">
        <v>57</v>
      </c>
      <c r="EY143" s="71" t="s">
        <v>127</v>
      </c>
      <c r="EZ143" s="73"/>
      <c r="FA143" s="18"/>
    </row>
    <row r="144" spans="1:157" s="4" customFormat="1" hidden="1" x14ac:dyDescent="0.25">
      <c r="W144" s="166"/>
      <c r="X144" s="166"/>
      <c r="Y144" s="166"/>
      <c r="Z144" s="10"/>
      <c r="AA144" s="10"/>
      <c r="AB144" s="10"/>
      <c r="AC144" s="10"/>
      <c r="AD144" s="10"/>
      <c r="AE144" s="10"/>
      <c r="AF144" s="10"/>
      <c r="AG144" s="10"/>
      <c r="AH144" s="166"/>
      <c r="AI144" s="166"/>
      <c r="AJ144" s="166"/>
      <c r="AK144" s="166"/>
      <c r="BE144" s="170"/>
      <c r="BF144" s="170"/>
      <c r="BG144" s="170"/>
      <c r="BH144" s="170"/>
      <c r="BI144" s="170"/>
      <c r="BJ144" s="170"/>
      <c r="BK144" s="170"/>
      <c r="BL144" s="170"/>
      <c r="BM144" s="170"/>
      <c r="BN144" s="170"/>
      <c r="BO144" s="170"/>
      <c r="BP144" s="170"/>
      <c r="BQ144" s="170"/>
      <c r="BR144" s="170"/>
      <c r="BS144" s="170"/>
      <c r="BT144" s="170"/>
      <c r="BU144" s="170"/>
      <c r="BV144" s="170"/>
      <c r="BW144" s="170"/>
      <c r="ES144" s="101" t="str">
        <f>""</f>
        <v/>
      </c>
      <c r="ET144" s="541"/>
      <c r="EU144" s="541"/>
      <c r="EV144" s="549"/>
      <c r="EW144" s="80" t="str">
        <f ca="1"/>
        <v>CRS Square 30</v>
      </c>
      <c r="EX144" s="71" t="s">
        <v>178</v>
      </c>
      <c r="EY144" s="71" t="s">
        <v>178</v>
      </c>
      <c r="EZ144" s="73"/>
      <c r="FA144" s="18"/>
    </row>
    <row r="145" spans="149:157" s="4" customFormat="1" hidden="1" x14ac:dyDescent="0.25">
      <c r="ES145" s="101" t="str">
        <f>""</f>
        <v/>
      </c>
      <c r="ET145" s="541"/>
      <c r="EU145" s="541"/>
      <c r="EV145" s="549"/>
      <c r="EW145" s="106" t="str">
        <f ca="1"/>
        <v>CRS Rectangular 45</v>
      </c>
      <c r="EX145" s="107" t="s">
        <v>177</v>
      </c>
      <c r="EY145" s="107" t="s">
        <v>177</v>
      </c>
      <c r="EZ145" s="87"/>
      <c r="FA145" s="65"/>
    </row>
    <row r="146" spans="149:157" s="4" customFormat="1" hidden="1" x14ac:dyDescent="0.25">
      <c r="ES146" s="101" t="str">
        <f>""</f>
        <v/>
      </c>
      <c r="ET146" s="331"/>
      <c r="EU146" s="305"/>
      <c r="EV146" s="332"/>
      <c r="EW146" s="112" t="str">
        <f ca="1"/>
        <v>&gt;&gt; Asymmetrical curtain &lt;&lt;</v>
      </c>
      <c r="EX146" s="113" t="s">
        <v>199</v>
      </c>
      <c r="EY146" s="113" t="s">
        <v>200</v>
      </c>
      <c r="EZ146" s="114"/>
      <c r="FA146" s="67"/>
    </row>
    <row r="147" spans="149:157" s="4" customFormat="1" ht="15.75" hidden="1" thickBot="1" x14ac:dyDescent="0.3">
      <c r="ES147" s="102" t="str">
        <f>""</f>
        <v/>
      </c>
      <c r="ET147" s="331" t="s">
        <v>192</v>
      </c>
      <c r="EU147" s="305"/>
      <c r="EV147" s="332"/>
      <c r="EW147" s="276" t="str">
        <f ca="1"/>
        <v>Values ​​are added together</v>
      </c>
      <c r="EX147" s="277" t="s">
        <v>204</v>
      </c>
      <c r="EY147" s="277" t="s">
        <v>203</v>
      </c>
      <c r="EZ147" s="278"/>
      <c r="FA147" s="279"/>
    </row>
    <row r="597" spans="141:157" ht="96" customHeight="1" x14ac:dyDescent="0.25">
      <c r="EK597" s="4" t="s">
        <v>3</v>
      </c>
      <c r="EL597" s="4"/>
      <c r="EM597" s="4"/>
      <c r="EN597" s="4"/>
      <c r="EO597" s="4"/>
      <c r="EP597" s="4"/>
      <c r="EQ597" s="4"/>
      <c r="ER597" s="4"/>
      <c r="ES597" s="4"/>
      <c r="ET597" s="4"/>
      <c r="EU597" s="4"/>
      <c r="EV597" s="4"/>
      <c r="EW597" s="4"/>
      <c r="EX597" s="4"/>
      <c r="EY597" s="4"/>
      <c r="EZ597" s="4"/>
      <c r="FA597" s="4"/>
    </row>
    <row r="598" spans="141:157" ht="96" customHeight="1" x14ac:dyDescent="0.25">
      <c r="EK598" s="4"/>
      <c r="EL598" s="4"/>
      <c r="EM598" s="4"/>
      <c r="EN598" s="4"/>
      <c r="EO598" s="4"/>
      <c r="EP598" s="4"/>
      <c r="EQ598" s="4"/>
      <c r="ER598" s="4"/>
      <c r="ES598" s="186"/>
      <c r="ET598" s="4"/>
      <c r="EU598" s="4"/>
      <c r="EV598" s="4"/>
      <c r="EW598" s="4"/>
      <c r="EX598" s="4"/>
      <c r="EY598" s="4"/>
      <c r="EZ598" s="4"/>
      <c r="FA598" s="4"/>
    </row>
    <row r="599" spans="141:157" ht="96" hidden="1" customHeight="1" thickBot="1" x14ac:dyDescent="0.3">
      <c r="EK599" s="544" t="s">
        <v>76</v>
      </c>
      <c r="EL599" s="544"/>
      <c r="EM599" s="544"/>
      <c r="EN599" s="4"/>
      <c r="EO599" s="4"/>
      <c r="EP599" s="4"/>
      <c r="EQ599" s="197" t="s">
        <v>75</v>
      </c>
      <c r="ER599" s="197"/>
      <c r="ES599" s="8" t="s">
        <v>55</v>
      </c>
      <c r="ET599" s="4"/>
      <c r="EU599" s="4"/>
      <c r="EV599" s="4"/>
      <c r="EW599" s="4"/>
      <c r="EX599" s="4"/>
      <c r="EY599" s="4"/>
      <c r="EZ599" s="4"/>
      <c r="FA599" s="4"/>
    </row>
    <row r="600" spans="141:157" ht="15.75" hidden="1" thickBot="1" x14ac:dyDescent="0.3">
      <c r="EK600" s="8" t="s">
        <v>54</v>
      </c>
      <c r="EL600" s="8"/>
      <c r="EM600" s="8" t="s">
        <v>55</v>
      </c>
      <c r="EN600" s="4"/>
      <c r="EO600" s="8" t="s">
        <v>70</v>
      </c>
      <c r="EP600" s="4"/>
      <c r="EQ600" s="8" t="s">
        <v>54</v>
      </c>
      <c r="ER600" s="8"/>
      <c r="ES600" s="4"/>
      <c r="ET600" s="4"/>
      <c r="EU600" s="4"/>
      <c r="EV600" s="4"/>
      <c r="EW600" s="4"/>
      <c r="EX600" s="4"/>
      <c r="EY600" s="4"/>
      <c r="EZ600" s="4"/>
      <c r="FA600" s="4"/>
    </row>
    <row r="601" spans="141:157" x14ac:dyDescent="0.25">
      <c r="EK601" s="4"/>
      <c r="EL601" s="4"/>
      <c r="EM601" s="4"/>
      <c r="EN601" s="4"/>
      <c r="EO601" s="4"/>
      <c r="EP601" s="4"/>
      <c r="EQ601" s="4"/>
      <c r="ER601" s="4"/>
      <c r="ES601" s="4"/>
      <c r="ET601" s="4"/>
      <c r="EU601" s="4"/>
      <c r="EV601" s="545"/>
      <c r="EW601" s="545"/>
      <c r="EX601" s="545"/>
      <c r="EY601" s="545"/>
      <c r="EZ601" s="545"/>
      <c r="FA601" s="545"/>
    </row>
    <row r="602" spans="141:157" ht="147" customHeight="1" x14ac:dyDescent="0.25"/>
    <row r="603" spans="141:157" ht="147" customHeight="1" x14ac:dyDescent="0.25"/>
    <row r="604" spans="141:157" ht="147" customHeight="1" x14ac:dyDescent="0.25"/>
    <row r="605" spans="141:157" ht="147" customHeight="1" x14ac:dyDescent="0.25"/>
    <row r="606" spans="141:157" ht="147" customHeight="1" x14ac:dyDescent="0.25"/>
    <row r="607" spans="141:157" ht="147" customHeight="1" x14ac:dyDescent="0.25"/>
    <row r="608" spans="141:157" ht="147" customHeight="1" x14ac:dyDescent="0.25"/>
    <row r="609" ht="147" customHeight="1" x14ac:dyDescent="0.25"/>
    <row r="610" ht="147" customHeight="1" x14ac:dyDescent="0.25"/>
    <row r="611" ht="147" customHeight="1" x14ac:dyDescent="0.25"/>
    <row r="612" ht="147" customHeight="1" x14ac:dyDescent="0.25"/>
    <row r="613" ht="147" customHeight="1" x14ac:dyDescent="0.25"/>
    <row r="614" ht="147" customHeight="1" x14ac:dyDescent="0.25"/>
    <row r="615" ht="147" customHeight="1" x14ac:dyDescent="0.25"/>
    <row r="616" ht="147" customHeight="1" x14ac:dyDescent="0.25"/>
    <row r="617" ht="147" customHeight="1" x14ac:dyDescent="0.25"/>
    <row r="618" ht="147" customHeight="1" x14ac:dyDescent="0.25"/>
    <row r="619" ht="147" customHeight="1" x14ac:dyDescent="0.25"/>
    <row r="620" ht="147" customHeight="1" x14ac:dyDescent="0.25"/>
    <row r="621" ht="147" customHeight="1" x14ac:dyDescent="0.25"/>
    <row r="622" ht="147" customHeight="1" x14ac:dyDescent="0.25"/>
    <row r="623" ht="147" customHeight="1" x14ac:dyDescent="0.25"/>
  </sheetData>
  <sheetProtection algorithmName="SHA-512" hashValue="h/dkV/vKQpriE2Agx7HjMi5bebqu3AcVTSzH3c4ZmU9sDUXhOf3VrFGjL1tPd3rOvezNispM3PJBcy4qIZ/zXw==" saltValue="RzYD7N3744qx2O2yujLF4A==" spinCount="100000" sheet="1" objects="1" scenarios="1" selectLockedCells="1"/>
  <mergeCells count="651">
    <mergeCell ref="ET147:EV147"/>
    <mergeCell ref="ET146:EV146"/>
    <mergeCell ref="M124:P124"/>
    <mergeCell ref="M125:P125"/>
    <mergeCell ref="AL83:AM88"/>
    <mergeCell ref="BV122:BX122"/>
    <mergeCell ref="AQ112:AT112"/>
    <mergeCell ref="AQ114:AQ115"/>
    <mergeCell ref="AR114:AT114"/>
    <mergeCell ref="AR115:AT115"/>
    <mergeCell ref="AQ116:AQ117"/>
    <mergeCell ref="AR116:AT116"/>
    <mergeCell ref="AR117:AT117"/>
    <mergeCell ref="AQ118:AQ119"/>
    <mergeCell ref="AR118:AT118"/>
    <mergeCell ref="AR119:AT119"/>
    <mergeCell ref="AQ113:AT113"/>
    <mergeCell ref="AE114:AG114"/>
    <mergeCell ref="AY86:AZ86"/>
    <mergeCell ref="AY90:AZ90"/>
    <mergeCell ref="AP89:AT89"/>
    <mergeCell ref="AJ93:AK93"/>
    <mergeCell ref="AL93:AM93"/>
    <mergeCell ref="AN93:AO93"/>
    <mergeCell ref="A102:B103"/>
    <mergeCell ref="A104:B107"/>
    <mergeCell ref="A108:B110"/>
    <mergeCell ref="A111:B112"/>
    <mergeCell ref="A113:B114"/>
    <mergeCell ref="A115:B116"/>
    <mergeCell ref="A117:B121"/>
    <mergeCell ref="AH114:AJ114"/>
    <mergeCell ref="C120:G120"/>
    <mergeCell ref="C119:G119"/>
    <mergeCell ref="AH111:AJ111"/>
    <mergeCell ref="C104:G104"/>
    <mergeCell ref="C108:G108"/>
    <mergeCell ref="AH113:AJ113"/>
    <mergeCell ref="C106:G106"/>
    <mergeCell ref="Q114:U114"/>
    <mergeCell ref="Q116:U116"/>
    <mergeCell ref="Q106:R106"/>
    <mergeCell ref="C107:G107"/>
    <mergeCell ref="Q107:R107"/>
    <mergeCell ref="M107:P107"/>
    <mergeCell ref="C112:G112"/>
    <mergeCell ref="M112:P112"/>
    <mergeCell ref="Q112:S112"/>
    <mergeCell ref="A122:B127"/>
    <mergeCell ref="A128:B129"/>
    <mergeCell ref="A130:B134"/>
    <mergeCell ref="J27:K28"/>
    <mergeCell ref="C129:G129"/>
    <mergeCell ref="A17:D18"/>
    <mergeCell ref="A21:D22"/>
    <mergeCell ref="A15:D16"/>
    <mergeCell ref="C133:G133"/>
    <mergeCell ref="C123:G123"/>
    <mergeCell ref="C118:G118"/>
    <mergeCell ref="A78:F78"/>
    <mergeCell ref="A80:F80"/>
    <mergeCell ref="A67:F67"/>
    <mergeCell ref="A63:F63"/>
    <mergeCell ref="A71:F71"/>
    <mergeCell ref="A72:F72"/>
    <mergeCell ref="A65:F65"/>
    <mergeCell ref="A70:F70"/>
    <mergeCell ref="A69:F69"/>
    <mergeCell ref="C132:G132"/>
    <mergeCell ref="C134:G134"/>
    <mergeCell ref="C122:G122"/>
    <mergeCell ref="C121:G121"/>
    <mergeCell ref="C110:G110"/>
    <mergeCell ref="C101:G101"/>
    <mergeCell ref="C109:G109"/>
    <mergeCell ref="M109:P109"/>
    <mergeCell ref="L92:L100"/>
    <mergeCell ref="AW100:BA100"/>
    <mergeCell ref="BI99:BL99"/>
    <mergeCell ref="C111:G111"/>
    <mergeCell ref="M106:P106"/>
    <mergeCell ref="AP98:AT98"/>
    <mergeCell ref="BK105:BO105"/>
    <mergeCell ref="AW108:AY108"/>
    <mergeCell ref="M110:P110"/>
    <mergeCell ref="Q110:S110"/>
    <mergeCell ref="T110:V110"/>
    <mergeCell ref="BC104:BH104"/>
    <mergeCell ref="BJ104:BO104"/>
    <mergeCell ref="C105:G105"/>
    <mergeCell ref="AW105:AY105"/>
    <mergeCell ref="J96:J100"/>
    <mergeCell ref="AN97:AO97"/>
    <mergeCell ref="AW93:BA93"/>
    <mergeCell ref="BI98:BM98"/>
    <mergeCell ref="M71:N71"/>
    <mergeCell ref="M77:N77"/>
    <mergeCell ref="U71:V71"/>
    <mergeCell ref="W71:X71"/>
    <mergeCell ref="Y71:Z71"/>
    <mergeCell ref="AW94:BA94"/>
    <mergeCell ref="AW95:BA95"/>
    <mergeCell ref="AW96:BA96"/>
    <mergeCell ref="BC89:BD89"/>
    <mergeCell ref="M74:N74"/>
    <mergeCell ref="W72:X72"/>
    <mergeCell ref="Y72:Z72"/>
    <mergeCell ref="BC99:BG99"/>
    <mergeCell ref="BA89:BB89"/>
    <mergeCell ref="BA84:BB84"/>
    <mergeCell ref="AY83:AZ84"/>
    <mergeCell ref="BA85:BB85"/>
    <mergeCell ref="AY88:AZ88"/>
    <mergeCell ref="AL97:AM97"/>
    <mergeCell ref="T112:V112"/>
    <mergeCell ref="W74:X74"/>
    <mergeCell ref="U73:V73"/>
    <mergeCell ref="W73:X73"/>
    <mergeCell ref="U72:V72"/>
    <mergeCell ref="U79:V79"/>
    <mergeCell ref="BE70:BF70"/>
    <mergeCell ref="BE71:BF71"/>
    <mergeCell ref="Y74:Z74"/>
    <mergeCell ref="U75:V75"/>
    <mergeCell ref="W75:X75"/>
    <mergeCell ref="U74:V74"/>
    <mergeCell ref="AJ97:AK97"/>
    <mergeCell ref="AJ95:AK95"/>
    <mergeCell ref="AL95:AM95"/>
    <mergeCell ref="AN95:AO95"/>
    <mergeCell ref="AP95:AT95"/>
    <mergeCell ref="BA88:BB88"/>
    <mergeCell ref="BC84:BD84"/>
    <mergeCell ref="BG83:BM84"/>
    <mergeCell ref="BC85:BD85"/>
    <mergeCell ref="BG85:BM85"/>
    <mergeCell ref="BE85:BF85"/>
    <mergeCell ref="BI92:BM92"/>
    <mergeCell ref="BI93:BL93"/>
    <mergeCell ref="AN96:AO96"/>
    <mergeCell ref="AP96:AT96"/>
    <mergeCell ref="AN89:AO89"/>
    <mergeCell ref="AM79:AS79"/>
    <mergeCell ref="AN94:AO94"/>
    <mergeCell ref="Y80:Z80"/>
    <mergeCell ref="AJ94:AK94"/>
    <mergeCell ref="AL94:AM94"/>
    <mergeCell ref="U62:V62"/>
    <mergeCell ref="W62:X62"/>
    <mergeCell ref="AY63:AZ68"/>
    <mergeCell ref="W68:X68"/>
    <mergeCell ref="U69:V69"/>
    <mergeCell ref="W69:X69"/>
    <mergeCell ref="BE72:BF72"/>
    <mergeCell ref="AI72:AL72"/>
    <mergeCell ref="AY69:AZ69"/>
    <mergeCell ref="BA69:BB69"/>
    <mergeCell ref="AP67:AV67"/>
    <mergeCell ref="AP66:AV66"/>
    <mergeCell ref="AP64:AV64"/>
    <mergeCell ref="AP65:AV65"/>
    <mergeCell ref="AO63:AV63"/>
    <mergeCell ref="U63:V63"/>
    <mergeCell ref="W63:X63"/>
    <mergeCell ref="U64:V64"/>
    <mergeCell ref="W64:X64"/>
    <mergeCell ref="Y67:Z67"/>
    <mergeCell ref="U68:V68"/>
    <mergeCell ref="W70:X70"/>
    <mergeCell ref="W66:X66"/>
    <mergeCell ref="Y68:Z68"/>
    <mergeCell ref="N54:N56"/>
    <mergeCell ref="C124:G124"/>
    <mergeCell ref="H96:H100"/>
    <mergeCell ref="C102:G102"/>
    <mergeCell ref="AI69:AL69"/>
    <mergeCell ref="AJ70:AL70"/>
    <mergeCell ref="AI77:AJ77"/>
    <mergeCell ref="M68:N68"/>
    <mergeCell ref="W61:X61"/>
    <mergeCell ref="AK65:AL65"/>
    <mergeCell ref="M61:N61"/>
    <mergeCell ref="M62:N62"/>
    <mergeCell ref="M63:N63"/>
    <mergeCell ref="M64:N64"/>
    <mergeCell ref="M65:N65"/>
    <mergeCell ref="AK64:AL64"/>
    <mergeCell ref="AI63:AL63"/>
    <mergeCell ref="Y61:Z61"/>
    <mergeCell ref="Y63:Z63"/>
    <mergeCell ref="Y64:Z64"/>
    <mergeCell ref="U67:V67"/>
    <mergeCell ref="W67:X67"/>
    <mergeCell ref="U60:V60"/>
    <mergeCell ref="W60:X60"/>
    <mergeCell ref="Y70:Z70"/>
    <mergeCell ref="AW106:AY106"/>
    <mergeCell ref="AQ105:AQ106"/>
    <mergeCell ref="AW99:BA99"/>
    <mergeCell ref="AW101:BA101"/>
    <mergeCell ref="AW102:BA102"/>
    <mergeCell ref="BA70:BB70"/>
    <mergeCell ref="AY70:AZ70"/>
    <mergeCell ref="AP92:AT92"/>
    <mergeCell ref="AP93:AT93"/>
    <mergeCell ref="AP94:AT94"/>
    <mergeCell ref="AJ83:AK88"/>
    <mergeCell ref="Y73:Z73"/>
    <mergeCell ref="Y78:Z78"/>
    <mergeCell ref="AY80:AZ80"/>
    <mergeCell ref="Y75:Z75"/>
    <mergeCell ref="AJ90:AK90"/>
    <mergeCell ref="AL90:AM90"/>
    <mergeCell ref="M69:N69"/>
    <mergeCell ref="M70:N70"/>
    <mergeCell ref="U70:V70"/>
    <mergeCell ref="Y69:Z69"/>
    <mergeCell ref="BT63:BZ63"/>
    <mergeCell ref="BT64:BU64"/>
    <mergeCell ref="BV64:BZ64"/>
    <mergeCell ref="BT66:BZ66"/>
    <mergeCell ref="BP68:BQ68"/>
    <mergeCell ref="BR68:BS68"/>
    <mergeCell ref="BP69:BQ69"/>
    <mergeCell ref="BR69:BS69"/>
    <mergeCell ref="BP63:BQ63"/>
    <mergeCell ref="BR63:BS63"/>
    <mergeCell ref="BP64:BQ64"/>
    <mergeCell ref="BP67:BQ67"/>
    <mergeCell ref="BR67:BS67"/>
    <mergeCell ref="BC69:BD69"/>
    <mergeCell ref="BE69:BF69"/>
    <mergeCell ref="BG69:BM69"/>
    <mergeCell ref="BE63:BF68"/>
    <mergeCell ref="BP70:BQ70"/>
    <mergeCell ref="BR70:BS70"/>
    <mergeCell ref="BC70:BD70"/>
    <mergeCell ref="Y51:Z56"/>
    <mergeCell ref="Y65:Z65"/>
    <mergeCell ref="Y66:Z66"/>
    <mergeCell ref="Y59:Z59"/>
    <mergeCell ref="Y60:Z60"/>
    <mergeCell ref="CB63:CJ63"/>
    <mergeCell ref="CF65:CJ65"/>
    <mergeCell ref="CF66:CJ66"/>
    <mergeCell ref="CF67:CJ67"/>
    <mergeCell ref="AK66:AL66"/>
    <mergeCell ref="AK67:AL67"/>
    <mergeCell ref="CB70:CE70"/>
    <mergeCell ref="CF72:CJ72"/>
    <mergeCell ref="CF70:CJ70"/>
    <mergeCell ref="BA72:BB72"/>
    <mergeCell ref="AY72:AZ72"/>
    <mergeCell ref="BA71:BB71"/>
    <mergeCell ref="AY71:AZ71"/>
    <mergeCell ref="BR64:BS64"/>
    <mergeCell ref="BP65:BQ65"/>
    <mergeCell ref="BR65:BS65"/>
    <mergeCell ref="BP66:BQ66"/>
    <mergeCell ref="BR66:BS66"/>
    <mergeCell ref="CF69:CJ69"/>
    <mergeCell ref="CF68:CJ68"/>
    <mergeCell ref="CB64:CE64"/>
    <mergeCell ref="CB65:CE65"/>
    <mergeCell ref="CB66:CE66"/>
    <mergeCell ref="CB67:CE67"/>
    <mergeCell ref="CB68:CE68"/>
    <mergeCell ref="BR74:BS75"/>
    <mergeCell ref="BP71:BQ71"/>
    <mergeCell ref="BR71:BS71"/>
    <mergeCell ref="BP72:BQ73"/>
    <mergeCell ref="BR72:BS73"/>
    <mergeCell ref="AY75:AZ75"/>
    <mergeCell ref="BG75:BM75"/>
    <mergeCell ref="AK77:AL77"/>
    <mergeCell ref="AM77:AS77"/>
    <mergeCell ref="BE74:BF74"/>
    <mergeCell ref="BE75:BF75"/>
    <mergeCell ref="BG72:BM72"/>
    <mergeCell ref="BA77:BB77"/>
    <mergeCell ref="BC77:BD77"/>
    <mergeCell ref="BC71:BD71"/>
    <mergeCell ref="BC72:BD72"/>
    <mergeCell ref="BC73:BD73"/>
    <mergeCell ref="BC74:BD74"/>
    <mergeCell ref="BA75:BB75"/>
    <mergeCell ref="AY73:AZ73"/>
    <mergeCell ref="AY74:AZ74"/>
    <mergeCell ref="C131:G131"/>
    <mergeCell ref="K96:K100"/>
    <mergeCell ref="AR109:AT109"/>
    <mergeCell ref="AR105:AT105"/>
    <mergeCell ref="AH104:AI104"/>
    <mergeCell ref="AH105:AI105"/>
    <mergeCell ref="AH106:AI106"/>
    <mergeCell ref="AE113:AG113"/>
    <mergeCell ref="AE112:AG112"/>
    <mergeCell ref="C126:G126"/>
    <mergeCell ref="C125:G125"/>
    <mergeCell ref="AH107:AI107"/>
    <mergeCell ref="AQ107:AQ108"/>
    <mergeCell ref="AR107:AT107"/>
    <mergeCell ref="AE107:AG107"/>
    <mergeCell ref="AE106:AG106"/>
    <mergeCell ref="AR106:AT106"/>
    <mergeCell ref="C127:G127"/>
    <mergeCell ref="C113:G113"/>
    <mergeCell ref="C115:G115"/>
    <mergeCell ref="C117:G117"/>
    <mergeCell ref="I96:I100"/>
    <mergeCell ref="C128:G128"/>
    <mergeCell ref="C130:G130"/>
    <mergeCell ref="EK599:EM599"/>
    <mergeCell ref="EV601:FA601"/>
    <mergeCell ref="ET67:EV67"/>
    <mergeCell ref="BT81:BU81"/>
    <mergeCell ref="BV81:BZ81"/>
    <mergeCell ref="BT85:BX85"/>
    <mergeCell ref="ET124:EV145"/>
    <mergeCell ref="ET87:EV93"/>
    <mergeCell ref="BT77:BZ78"/>
    <mergeCell ref="ET118:EV123"/>
    <mergeCell ref="ET94:EV106"/>
    <mergeCell ref="ET107:EV110"/>
    <mergeCell ref="BT67:BZ67"/>
    <mergeCell ref="BT68:BZ68"/>
    <mergeCell ref="BT71:BZ71"/>
    <mergeCell ref="BT74:BZ75"/>
    <mergeCell ref="BT69:BZ69"/>
    <mergeCell ref="BT72:BZ73"/>
    <mergeCell ref="BT70:BZ70"/>
    <mergeCell ref="BY122:BZ122"/>
    <mergeCell ref="BS104:BW104"/>
    <mergeCell ref="BY104:BZ104"/>
    <mergeCell ref="ET111:EV116"/>
    <mergeCell ref="ET117:EV117"/>
    <mergeCell ref="BT92:BX93"/>
    <mergeCell ref="BP92:BQ93"/>
    <mergeCell ref="BP85:BQ85"/>
    <mergeCell ref="BP89:BQ89"/>
    <mergeCell ref="BP88:BQ88"/>
    <mergeCell ref="BR88:BS88"/>
    <mergeCell ref="BR85:BS85"/>
    <mergeCell ref="BR89:BS89"/>
    <mergeCell ref="ET68:EV86"/>
    <mergeCell ref="BP90:BQ91"/>
    <mergeCell ref="BR87:BS87"/>
    <mergeCell ref="BP86:BQ86"/>
    <mergeCell ref="BP87:BQ87"/>
    <mergeCell ref="BR86:BS86"/>
    <mergeCell ref="BP82:BQ83"/>
    <mergeCell ref="BR82:BS83"/>
    <mergeCell ref="BP81:BQ81"/>
    <mergeCell ref="BT82:BZ83"/>
    <mergeCell ref="BR81:BS81"/>
    <mergeCell ref="BP77:BQ78"/>
    <mergeCell ref="BR77:BS78"/>
    <mergeCell ref="BP74:BQ75"/>
    <mergeCell ref="CO86:CQ86"/>
    <mergeCell ref="BT90:BX91"/>
    <mergeCell ref="BT40:BU40"/>
    <mergeCell ref="BG81:BM81"/>
    <mergeCell ref="CF71:CJ71"/>
    <mergeCell ref="AW81:AX81"/>
    <mergeCell ref="BG78:BM78"/>
    <mergeCell ref="AW79:AX79"/>
    <mergeCell ref="BG79:BM79"/>
    <mergeCell ref="BG71:BM71"/>
    <mergeCell ref="AY78:AZ78"/>
    <mergeCell ref="AY79:AZ79"/>
    <mergeCell ref="BC63:BD68"/>
    <mergeCell ref="BG73:BM73"/>
    <mergeCell ref="BG70:BM70"/>
    <mergeCell ref="BG74:BM74"/>
    <mergeCell ref="BT65:BU65"/>
    <mergeCell ref="BV65:BW65"/>
    <mergeCell ref="BA63:BB68"/>
    <mergeCell ref="CB69:CE69"/>
    <mergeCell ref="CB71:CE71"/>
    <mergeCell ref="CF64:CJ64"/>
    <mergeCell ref="CB72:CE72"/>
    <mergeCell ref="BA73:BB73"/>
    <mergeCell ref="BA74:BB74"/>
    <mergeCell ref="BC75:BD75"/>
    <mergeCell ref="W1:AF1"/>
    <mergeCell ref="L13:V14"/>
    <mergeCell ref="O26:P26"/>
    <mergeCell ref="I6:R9"/>
    <mergeCell ref="AD12:AE12"/>
    <mergeCell ref="AA12:AC12"/>
    <mergeCell ref="W12:Z12"/>
    <mergeCell ref="AD25:AE25"/>
    <mergeCell ref="L15:V16"/>
    <mergeCell ref="L17:V18"/>
    <mergeCell ref="L19:V20"/>
    <mergeCell ref="L21:V22"/>
    <mergeCell ref="L23:V24"/>
    <mergeCell ref="W15:Z15"/>
    <mergeCell ref="E15:I16"/>
    <mergeCell ref="E17:I18"/>
    <mergeCell ref="E19:I20"/>
    <mergeCell ref="E21:I22"/>
    <mergeCell ref="AA16:AC16"/>
    <mergeCell ref="W3:Z3"/>
    <mergeCell ref="W7:Z7"/>
    <mergeCell ref="AA20:AC20"/>
    <mergeCell ref="W19:Z19"/>
    <mergeCell ref="W13:Z13"/>
    <mergeCell ref="A27:D27"/>
    <mergeCell ref="E27:I28"/>
    <mergeCell ref="A42:Q42"/>
    <mergeCell ref="A40:L40"/>
    <mergeCell ref="E25:I26"/>
    <mergeCell ref="A64:F64"/>
    <mergeCell ref="A57:F57"/>
    <mergeCell ref="G57:H57"/>
    <mergeCell ref="A58:F58"/>
    <mergeCell ref="A59:F59"/>
    <mergeCell ref="A25:D25"/>
    <mergeCell ref="K47:K56"/>
    <mergeCell ref="A43:Q43"/>
    <mergeCell ref="A44:Q44"/>
    <mergeCell ref="A61:F61"/>
    <mergeCell ref="A62:F62"/>
    <mergeCell ref="J47:J56"/>
    <mergeCell ref="A60:F60"/>
    <mergeCell ref="A41:Q41"/>
    <mergeCell ref="A26:D26"/>
    <mergeCell ref="A28:D28"/>
    <mergeCell ref="A45:R45"/>
    <mergeCell ref="L47:L56"/>
    <mergeCell ref="M60:N60"/>
    <mergeCell ref="J19:K20"/>
    <mergeCell ref="J21:K22"/>
    <mergeCell ref="J23:K24"/>
    <mergeCell ref="E23:I24"/>
    <mergeCell ref="A10:B10"/>
    <mergeCell ref="J11:K12"/>
    <mergeCell ref="E13:I14"/>
    <mergeCell ref="A11:D12"/>
    <mergeCell ref="A24:D24"/>
    <mergeCell ref="A23:D23"/>
    <mergeCell ref="J15:K16"/>
    <mergeCell ref="J17:K18"/>
    <mergeCell ref="E11:I12"/>
    <mergeCell ref="J13:K14"/>
    <mergeCell ref="A13:D14"/>
    <mergeCell ref="A19:D19"/>
    <mergeCell ref="A20:D20"/>
    <mergeCell ref="AD3:AE3"/>
    <mergeCell ref="W4:Z4"/>
    <mergeCell ref="AD4:AE4"/>
    <mergeCell ref="AD7:AE7"/>
    <mergeCell ref="AD8:AE8"/>
    <mergeCell ref="AA7:AC7"/>
    <mergeCell ref="W11:Z11"/>
    <mergeCell ref="AD20:AE20"/>
    <mergeCell ref="W16:Z16"/>
    <mergeCell ref="W8:Z8"/>
    <mergeCell ref="AD11:AE11"/>
    <mergeCell ref="AA4:AC4"/>
    <mergeCell ref="AA3:AC3"/>
    <mergeCell ref="AA8:AC8"/>
    <mergeCell ref="AA11:AC11"/>
    <mergeCell ref="AA19:AC19"/>
    <mergeCell ref="AD19:AE19"/>
    <mergeCell ref="AD16:AE16"/>
    <mergeCell ref="AA15:AC15"/>
    <mergeCell ref="AD15:AE15"/>
    <mergeCell ref="A2:D2"/>
    <mergeCell ref="E1:E2"/>
    <mergeCell ref="C103:G103"/>
    <mergeCell ref="C114:G114"/>
    <mergeCell ref="C116:G116"/>
    <mergeCell ref="M103:P103"/>
    <mergeCell ref="M114:P114"/>
    <mergeCell ref="M116:P116"/>
    <mergeCell ref="Q103:U103"/>
    <mergeCell ref="G47:H56"/>
    <mergeCell ref="A55:F56"/>
    <mergeCell ref="A73:F73"/>
    <mergeCell ref="A74:F74"/>
    <mergeCell ref="A75:F75"/>
    <mergeCell ref="A77:F77"/>
    <mergeCell ref="A76:F76"/>
    <mergeCell ref="A79:F79"/>
    <mergeCell ref="L11:V12"/>
    <mergeCell ref="Q109:U109"/>
    <mergeCell ref="A66:F66"/>
    <mergeCell ref="M27:S28"/>
    <mergeCell ref="A1:D1"/>
    <mergeCell ref="M76:N76"/>
    <mergeCell ref="M79:N79"/>
    <mergeCell ref="AD24:AE24"/>
    <mergeCell ref="W23:AB23"/>
    <mergeCell ref="X24:AB24"/>
    <mergeCell ref="X25:AB25"/>
    <mergeCell ref="M59:N59"/>
    <mergeCell ref="M66:N66"/>
    <mergeCell ref="M67:N67"/>
    <mergeCell ref="U59:V59"/>
    <mergeCell ref="W59:X59"/>
    <mergeCell ref="U65:V65"/>
    <mergeCell ref="W65:X65"/>
    <mergeCell ref="U66:V66"/>
    <mergeCell ref="M54:M56"/>
    <mergeCell ref="R55:T55"/>
    <mergeCell ref="U51:V56"/>
    <mergeCell ref="P47:P56"/>
    <mergeCell ref="W51:X56"/>
    <mergeCell ref="Y62:Z62"/>
    <mergeCell ref="O47:O56"/>
    <mergeCell ref="Q47:Q56"/>
    <mergeCell ref="R54:T54"/>
    <mergeCell ref="U50:Z50"/>
    <mergeCell ref="U61:V61"/>
    <mergeCell ref="M47:N53"/>
    <mergeCell ref="AW107:AY107"/>
    <mergeCell ref="AE108:AG109"/>
    <mergeCell ref="AE105:AG105"/>
    <mergeCell ref="AK105:AN105"/>
    <mergeCell ref="AR110:AT110"/>
    <mergeCell ref="AR108:AT108"/>
    <mergeCell ref="AM107:AN108"/>
    <mergeCell ref="AO104:AO105"/>
    <mergeCell ref="AQ104:AT104"/>
    <mergeCell ref="AV104:AY104"/>
    <mergeCell ref="AK104:AN104"/>
    <mergeCell ref="AE104:AG104"/>
    <mergeCell ref="AL98:AM98"/>
    <mergeCell ref="AN98:AO98"/>
    <mergeCell ref="AP97:AT97"/>
    <mergeCell ref="AJ98:AK98"/>
    <mergeCell ref="AH112:AJ112"/>
    <mergeCell ref="AE111:AG111"/>
    <mergeCell ref="AH108:AI109"/>
    <mergeCell ref="AJ108:AJ109"/>
    <mergeCell ref="AQ109:AQ110"/>
    <mergeCell ref="AN92:AO92"/>
    <mergeCell ref="AL89:AM89"/>
    <mergeCell ref="AN90:AO90"/>
    <mergeCell ref="AJ96:AK96"/>
    <mergeCell ref="AL96:AM96"/>
    <mergeCell ref="AP90:AT90"/>
    <mergeCell ref="AP91:AT91"/>
    <mergeCell ref="BR92:BS93"/>
    <mergeCell ref="BR90:BS91"/>
    <mergeCell ref="AJ91:AK91"/>
    <mergeCell ref="AL91:AM91"/>
    <mergeCell ref="AN91:AO91"/>
    <mergeCell ref="AJ92:AK92"/>
    <mergeCell ref="AL92:AM92"/>
    <mergeCell ref="BC90:BD90"/>
    <mergeCell ref="BC93:BG93"/>
    <mergeCell ref="AI81:AJ81"/>
    <mergeCell ref="AM78:AS78"/>
    <mergeCell ref="CH81:CK81"/>
    <mergeCell ref="CO81:CQ81"/>
    <mergeCell ref="CH80:CK80"/>
    <mergeCell ref="CO78:CQ78"/>
    <mergeCell ref="AK81:AL81"/>
    <mergeCell ref="BG89:BM89"/>
    <mergeCell ref="BC83:BD83"/>
    <mergeCell ref="AY87:AZ87"/>
    <mergeCell ref="BC87:BD87"/>
    <mergeCell ref="BG87:BM87"/>
    <mergeCell ref="AW78:AX78"/>
    <mergeCell ref="AY85:AZ85"/>
    <mergeCell ref="W78:X78"/>
    <mergeCell ref="AI78:AJ78"/>
    <mergeCell ref="AK78:AL78"/>
    <mergeCell ref="Y76:Z76"/>
    <mergeCell ref="U77:V77"/>
    <mergeCell ref="W77:X77"/>
    <mergeCell ref="W79:X79"/>
    <mergeCell ref="Y77:Z77"/>
    <mergeCell ref="AI79:AJ79"/>
    <mergeCell ref="AK79:AL79"/>
    <mergeCell ref="M78:N78"/>
    <mergeCell ref="M75:N75"/>
    <mergeCell ref="U80:V80"/>
    <mergeCell ref="W80:X80"/>
    <mergeCell ref="U78:V78"/>
    <mergeCell ref="BG90:BM90"/>
    <mergeCell ref="AY89:AZ89"/>
    <mergeCell ref="AI80:AJ80"/>
    <mergeCell ref="AK80:AL80"/>
    <mergeCell ref="M80:N80"/>
    <mergeCell ref="AN83:AO88"/>
    <mergeCell ref="AJ89:AK89"/>
    <mergeCell ref="BC86:BD86"/>
    <mergeCell ref="BG86:BM86"/>
    <mergeCell ref="BC88:BD88"/>
    <mergeCell ref="BG88:BM88"/>
    <mergeCell ref="AM81:AS81"/>
    <mergeCell ref="Y79:Z79"/>
    <mergeCell ref="BA78:BB78"/>
    <mergeCell ref="BC78:BD78"/>
    <mergeCell ref="BA83:BB83"/>
    <mergeCell ref="BA90:BB90"/>
    <mergeCell ref="BA86:BB86"/>
    <mergeCell ref="BA87:BB87"/>
    <mergeCell ref="A68:F68"/>
    <mergeCell ref="CH78:CK78"/>
    <mergeCell ref="CH74:CQ75"/>
    <mergeCell ref="CH84:CK84"/>
    <mergeCell ref="CH85:CK85"/>
    <mergeCell ref="U76:V76"/>
    <mergeCell ref="W76:X76"/>
    <mergeCell ref="CH76:CJ76"/>
    <mergeCell ref="AM80:AS80"/>
    <mergeCell ref="AI76:AJ76"/>
    <mergeCell ref="AK76:AL76"/>
    <mergeCell ref="AM76:AS76"/>
    <mergeCell ref="BE73:BF73"/>
    <mergeCell ref="M73:N73"/>
    <mergeCell ref="AW80:AX80"/>
    <mergeCell ref="AY81:AZ81"/>
    <mergeCell ref="AJ73:AL73"/>
    <mergeCell ref="AJ74:AL74"/>
    <mergeCell ref="BG80:BM80"/>
    <mergeCell ref="BE78:BF78"/>
    <mergeCell ref="BE77:BF77"/>
    <mergeCell ref="CL76:CN76"/>
    <mergeCell ref="CH77:CK77"/>
    <mergeCell ref="CH79:CK79"/>
    <mergeCell ref="CJ90:CN90"/>
    <mergeCell ref="CJ91:CN91"/>
    <mergeCell ref="CH86:CK86"/>
    <mergeCell ref="CR86:CT86"/>
    <mergeCell ref="CJ89:CN89"/>
    <mergeCell ref="CR82:CT82"/>
    <mergeCell ref="CH83:CK83"/>
    <mergeCell ref="CO83:CQ83"/>
    <mergeCell ref="CR83:CT83"/>
    <mergeCell ref="CO85:CQ85"/>
    <mergeCell ref="CR85:CT85"/>
    <mergeCell ref="CH82:CK82"/>
    <mergeCell ref="CO82:CQ82"/>
    <mergeCell ref="CR78:CT78"/>
    <mergeCell ref="CO76:CQ76"/>
    <mergeCell ref="CO77:CQ77"/>
    <mergeCell ref="CR77:CT77"/>
    <mergeCell ref="CO79:CQ79"/>
    <mergeCell ref="CR79:CT79"/>
    <mergeCell ref="CO80:CQ80"/>
    <mergeCell ref="CR80:CT80"/>
    <mergeCell ref="CR84:CT84"/>
    <mergeCell ref="CO84:CQ84"/>
    <mergeCell ref="CR76:CT76"/>
    <mergeCell ref="CR81:CT81"/>
  </mergeCells>
  <phoneticPr fontId="5" type="noConversion"/>
  <conditionalFormatting sqref="D30:I30">
    <cfRule type="expression" dxfId="13" priority="214">
      <formula>IF($H$101=0,$I$101=0)</formula>
    </cfRule>
  </conditionalFormatting>
  <conditionalFormatting sqref="G29:G30 D31">
    <cfRule type="expression" dxfId="12" priority="215">
      <formula>IF($H$101=0,$I$101=0)</formula>
    </cfRule>
  </conditionalFormatting>
  <conditionalFormatting sqref="I31">
    <cfRule type="expression" dxfId="11" priority="217">
      <formula>IF($H$101=0,$I$101=0)</formula>
    </cfRule>
  </conditionalFormatting>
  <conditionalFormatting sqref="J25:S25">
    <cfRule type="expression" dxfId="10" priority="218">
      <formula>IF($J$101&gt;0,FALSE,TRUE)</formula>
    </cfRule>
  </conditionalFormatting>
  <conditionalFormatting sqref="M26:M28">
    <cfRule type="expression" dxfId="9" priority="219">
      <formula>IF($J$101&gt;0,FALSE,TRUE)</formula>
    </cfRule>
  </conditionalFormatting>
  <conditionalFormatting sqref="S26:S28">
    <cfRule type="expression" dxfId="8" priority="220">
      <formula>IF($J$101&gt;0,FALSE,TRUE)</formula>
    </cfRule>
  </conditionalFormatting>
  <conditionalFormatting sqref="X17:AE17 X21:AE21">
    <cfRule type="expression" dxfId="7" priority="188">
      <formula>#REF!=0</formula>
    </cfRule>
  </conditionalFormatting>
  <conditionalFormatting sqref="AG24:AH24 AG36:AH36">
    <cfRule type="expression" dxfId="6" priority="221">
      <formula>IF(AND($H$101=0,$I$101=0),TRUE,FALSE)</formula>
    </cfRule>
  </conditionalFormatting>
  <conditionalFormatting sqref="AG31:AH31">
    <cfRule type="expression" dxfId="5" priority="223">
      <formula>IF(AND($H$101=0,$I$101=0),TRUE,FALSE)</formula>
    </cfRule>
  </conditionalFormatting>
  <conditionalFormatting sqref="AH37">
    <cfRule type="expression" dxfId="4" priority="224">
      <formula>IF(AND($H$101=0,$I$101=0,#REF!=1),TRUE,FALSE)</formula>
    </cfRule>
  </conditionalFormatting>
  <conditionalFormatting sqref="AI25:AI36">
    <cfRule type="expression" dxfId="3" priority="225">
      <formula>IF(AND($H$101=0,$I$101=0),TRUE,FALSE)</formula>
    </cfRule>
  </conditionalFormatting>
  <conditionalFormatting sqref="BC94 BC100">
    <cfRule type="expression" dxfId="2" priority="7">
      <formula>IF($BM$99=1,IF($BC$100="ZZ",TRUE,FALSE),FALSE)</formula>
    </cfRule>
  </conditionalFormatting>
  <conditionalFormatting sqref="BC95 BC101">
    <cfRule type="expression" dxfId="1" priority="6">
      <formula>IF($BM$99=1,IF($BC$101="ZZ",TRUE,FALSE),FALSE)</formula>
    </cfRule>
  </conditionalFormatting>
  <conditionalFormatting sqref="BC96 BC102">
    <cfRule type="expression" dxfId="0" priority="5">
      <formula>IF($BM$99=1,IF($BC$102="ZZ",1,0),0)</formula>
    </cfRule>
  </conditionalFormatting>
  <dataValidations count="9">
    <dataValidation type="list" allowBlank="1" showInputMessage="1" showErrorMessage="1" sqref="E17:I18" xr:uid="{55B6FC7E-4E16-45ED-A5AD-A18F389A6D55}">
      <formula1>Afstandglijder</formula1>
    </dataValidation>
    <dataValidation type="list" allowBlank="1" showInputMessage="1" showErrorMessage="1" sqref="E15:I16" xr:uid="{933ED484-6708-4609-A5CE-2C2F4C5C09D0}">
      <formula1>Glijder</formula1>
    </dataValidation>
    <dataValidation type="list" allowBlank="1" showInputMessage="1" showErrorMessage="1" sqref="E11:I12" xr:uid="{5C938E68-EA92-4D73-A009-F1A950467759}">
      <formula1>$BC$105:$BC$126</formula1>
    </dataValidation>
    <dataValidation type="list" allowBlank="1" showInputMessage="1" showErrorMessage="1" sqref="AM107:AN108" xr:uid="{E5E3D756-3360-4CFB-9385-67FE434570BC}">
      <formula1>$AL$110:$AL$117</formula1>
    </dataValidation>
    <dataValidation type="list" allowBlank="1" showInputMessage="1" showErrorMessage="1" sqref="AK105" xr:uid="{483593F1-489A-428E-86A6-3E414C7FA7D8}">
      <formula1>$AW$107:$AW$108</formula1>
    </dataValidation>
    <dataValidation type="list" allowBlank="1" showErrorMessage="1" errorTitle="Invalid" error="Value is not on the list." sqref="E19:I20" xr:uid="{FC3FCCDE-00A5-4CAE-8AAB-5D2C56FC1FAA}">
      <formula1>Pakketzijde</formula1>
    </dataValidation>
    <dataValidation type="list" allowBlank="1" showInputMessage="1" showErrorMessage="1" sqref="E27:I28" xr:uid="{D7D85A6F-C8DF-4D2D-BA45-EF5BF7FA6A97}">
      <formula1>IF($E$17=$AW$96,$AV$106:$AV$121,$AV$105:$AV$121)</formula1>
    </dataValidation>
    <dataValidation type="list" allowBlank="1" showInputMessage="1" showErrorMessage="1" sqref="E21:I22" xr:uid="{A15FD8EE-A097-4493-B1E9-BDC79F9764AD}">
      <formula1>Voorloper</formula1>
    </dataValidation>
    <dataValidation type="list" allowBlank="1" showInputMessage="1" showErrorMessage="1" sqref="A2" xr:uid="{7521CBA8-0EA6-4C92-8203-B6164A70AAE9}">
      <formula1>$EX$67:$EY$67</formula1>
    </dataValidation>
  </dataValidations>
  <pageMargins left="0.70866141732283472" right="0.70866141732283472" top="0.74803149606299213" bottom="0.74803149606299213" header="0.31496062992125984" footer="0.31496062992125984"/>
  <pageSetup paperSize="9" scale="77" orientation="landscape" blackAndWhite="1" r:id="rId1"/>
  <colBreaks count="1" manualBreakCount="1">
    <brk id="38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6789-3334-404C-9DB5-717524E9AF0A}">
  <sheetPr>
    <tabColor rgb="FFA05599"/>
  </sheetPr>
  <dimension ref="A1:AF93"/>
  <sheetViews>
    <sheetView zoomScaleNormal="100" workbookViewId="0">
      <selection activeCell="D8" sqref="D8:F9"/>
    </sheetView>
  </sheetViews>
  <sheetFormatPr defaultRowHeight="15" x14ac:dyDescent="0.25"/>
  <cols>
    <col min="1" max="3" width="4" style="303" customWidth="1"/>
    <col min="4" max="4" width="3.5703125" style="303" customWidth="1"/>
    <col min="5" max="6" width="3.7109375" style="303" customWidth="1"/>
    <col min="7" max="7" width="4.28515625" style="303" customWidth="1"/>
    <col min="8" max="11" width="3.42578125" style="303" customWidth="1"/>
    <col min="12" max="12" width="2.42578125" style="303" customWidth="1"/>
    <col min="13" max="14" width="3.5703125" style="303" customWidth="1"/>
    <col min="15" max="21" width="9.140625" style="303"/>
    <col min="22" max="22" width="11.5703125" style="303" customWidth="1"/>
    <col min="23" max="24" width="18.42578125" style="303" customWidth="1"/>
    <col min="25" max="26" width="9.140625" style="303"/>
    <col min="27" max="27" width="37.5703125" style="303" customWidth="1"/>
    <col min="28" max="29" width="58.5703125" style="303" customWidth="1"/>
    <col min="30" max="31" width="9.28515625" style="303" customWidth="1"/>
    <col min="32" max="16384" width="9.140625" style="303"/>
  </cols>
  <sheetData>
    <row r="1" spans="1:14" ht="15" customHeight="1" x14ac:dyDescent="0.25">
      <c r="A1" s="681" t="str">
        <f ca="1">IF(A2="",'Forest FES-Wave'!EX117,'Forest FES-Wave'!EW117)</f>
        <v>Language:</v>
      </c>
      <c r="B1" s="681"/>
      <c r="C1" s="688" t="str">
        <f>IF(A2="","!","")</f>
        <v/>
      </c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</row>
    <row r="2" spans="1:14" ht="15" customHeight="1" x14ac:dyDescent="0.25">
      <c r="A2" s="689" t="s">
        <v>88</v>
      </c>
      <c r="B2" s="689"/>
      <c r="C2" s="6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</row>
    <row r="3" spans="1:14" ht="15" customHeight="1" x14ac:dyDescent="0.25">
      <c r="A3" s="288"/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</row>
    <row r="4" spans="1:14" ht="15" customHeight="1" x14ac:dyDescent="0.25">
      <c r="A4" s="288"/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</row>
    <row r="5" spans="1:14" ht="15" customHeight="1" x14ac:dyDescent="0.25">
      <c r="A5" s="288"/>
      <c r="B5" s="304"/>
      <c r="C5" s="304"/>
      <c r="D5" s="690" t="str">
        <f ca="1">"FES-wave " &amp; IF(A2="",'Forest FES-Wave Mobile'!AB37,'Forest FES-Wave Mobile'!AA37)</f>
        <v>FES-wave Mobile</v>
      </c>
      <c r="E5" s="690"/>
      <c r="F5" s="690"/>
      <c r="G5" s="690"/>
      <c r="H5" s="690"/>
      <c r="I5" s="690"/>
      <c r="J5" s="690"/>
      <c r="K5" s="690"/>
      <c r="L5" s="690"/>
      <c r="M5" s="690"/>
      <c r="N5" s="690"/>
    </row>
    <row r="6" spans="1:14" ht="15" customHeight="1" x14ac:dyDescent="0.25">
      <c r="A6" s="304"/>
      <c r="B6" s="304"/>
      <c r="C6" s="304"/>
      <c r="D6" s="690"/>
      <c r="E6" s="690"/>
      <c r="F6" s="690"/>
      <c r="G6" s="690"/>
      <c r="H6" s="690"/>
      <c r="I6" s="690"/>
      <c r="J6" s="690"/>
      <c r="K6" s="690"/>
      <c r="L6" s="690"/>
      <c r="M6" s="690"/>
      <c r="N6" s="690"/>
    </row>
    <row r="7" spans="1:14" ht="15" customHeight="1" thickBot="1" x14ac:dyDescent="0.3">
      <c r="A7" s="288"/>
      <c r="B7" s="288"/>
      <c r="C7" s="288"/>
      <c r="D7" s="288"/>
      <c r="E7" s="288"/>
      <c r="F7" s="288"/>
      <c r="G7" s="288"/>
      <c r="H7" s="288"/>
      <c r="I7" s="289"/>
      <c r="J7" s="288"/>
      <c r="K7" s="288"/>
      <c r="L7" s="288"/>
      <c r="M7" s="288"/>
      <c r="N7" s="288"/>
    </row>
    <row r="8" spans="1:14" ht="15" customHeight="1" x14ac:dyDescent="0.25">
      <c r="A8" s="691" t="str">
        <f ca="1">AA38</f>
        <v>Track type</v>
      </c>
      <c r="B8" s="691"/>
      <c r="C8" s="692"/>
      <c r="D8" s="695" t="s">
        <v>34</v>
      </c>
      <c r="E8" s="696"/>
      <c r="F8" s="697"/>
      <c r="G8" s="663" t="str">
        <f ca="1">IF(A2="","",IF(H69+H70&gt;=1,"!",""))</f>
        <v/>
      </c>
      <c r="H8" s="290"/>
      <c r="I8" s="291"/>
      <c r="J8" s="291"/>
      <c r="K8" s="291"/>
      <c r="L8" s="291"/>
      <c r="M8" s="291"/>
      <c r="N8" s="292"/>
    </row>
    <row r="9" spans="1:14" ht="15" customHeight="1" x14ac:dyDescent="0.25">
      <c r="A9" s="693"/>
      <c r="B9" s="693"/>
      <c r="C9" s="694"/>
      <c r="D9" s="698"/>
      <c r="E9" s="699"/>
      <c r="F9" s="700"/>
      <c r="G9" s="663"/>
      <c r="H9" s="680" t="str">
        <f ca="1">IF(M9="","",AA51)</f>
        <v>Number of hooks</v>
      </c>
      <c r="I9" s="681"/>
      <c r="J9" s="681"/>
      <c r="K9" s="681"/>
      <c r="L9" s="293" t="str">
        <f ca="1">IF(M9="","",IF(D16='Forest FES-Wave'!AW105,"",IF('Forest FES-Wave'!J57=1,'Forest FES-Wave Mobile'!AA58,IF('Forest FES-Wave'!J57=2,'Forest FES-Wave Mobile'!AA60,IF('Forest FES-Wave'!J57=3,'Forest FES-Wave Mobile'!AA62,"")))))</f>
        <v/>
      </c>
      <c r="M9" s="293">
        <f ca="1">IF(H68=0,'Forest FES-Wave'!BP74,"")</f>
        <v>14</v>
      </c>
      <c r="N9" s="294"/>
    </row>
    <row r="10" spans="1:14" ht="15" customHeight="1" x14ac:dyDescent="0.25">
      <c r="A10" s="655" t="str">
        <f t="shared" ref="A10:A17" ca="1" si="0">AA39</f>
        <v>Track size</v>
      </c>
      <c r="B10" s="655"/>
      <c r="C10" s="656"/>
      <c r="D10" s="670">
        <v>100</v>
      </c>
      <c r="E10" s="671"/>
      <c r="F10" s="672"/>
      <c r="G10" s="663" t="str">
        <f ca="1">IF(A2="","",IF(H71+H72+H73+H74&gt;=1,"!",""))</f>
        <v/>
      </c>
      <c r="H10" s="680" t="str">
        <f ca="1">IF(M9="","",AA52)</f>
        <v xml:space="preserve"> in curtain needed</v>
      </c>
      <c r="I10" s="681"/>
      <c r="J10" s="681"/>
      <c r="K10" s="681"/>
      <c r="L10" s="293" t="str">
        <f ca="1">IF(H68=1,"",IF(D16='Forest FES-Wave'!AW105,"",IF('Forest FES-Wave'!J57=0,"",IF('Forest FES-Wave'!J57=1,AA59,IF('Forest FES-Wave'!J57=2,AA61,IF('Forest FES-Wave'!J57=3,AA63,""))))))</f>
        <v/>
      </c>
      <c r="M10" s="293" t="str">
        <f ca="1">IF($D$16='Forest FES-Wave'!AW106,IF(M9="","",'Forest FES-Wave'!BR74),"")</f>
        <v/>
      </c>
      <c r="N10" s="294"/>
    </row>
    <row r="11" spans="1:14" x14ac:dyDescent="0.25">
      <c r="A11" s="666" t="str">
        <f t="shared" ca="1" si="0"/>
        <v>in cm</v>
      </c>
      <c r="B11" s="666"/>
      <c r="C11" s="667"/>
      <c r="D11" s="682"/>
      <c r="E11" s="683"/>
      <c r="F11" s="684"/>
      <c r="G11" s="663"/>
      <c r="H11" s="295"/>
      <c r="I11" s="296"/>
      <c r="J11" s="296"/>
      <c r="K11" s="296"/>
      <c r="L11" s="296"/>
      <c r="M11" s="296"/>
      <c r="N11" s="297"/>
    </row>
    <row r="12" spans="1:14" x14ac:dyDescent="0.25">
      <c r="A12" s="655" t="str">
        <f t="shared" ca="1" si="0"/>
        <v>Type of</v>
      </c>
      <c r="B12" s="655"/>
      <c r="C12" s="656"/>
      <c r="D12" s="670" t="s">
        <v>0</v>
      </c>
      <c r="E12" s="671"/>
      <c r="F12" s="672"/>
      <c r="G12" s="663" t="str">
        <f ca="1">IF(A2="","",IF(G8="!","",IF(H75+H76+H77&gt;=1,"!","")))</f>
        <v/>
      </c>
      <c r="H12" s="295"/>
      <c r="I12" s="288"/>
      <c r="J12" s="288"/>
      <c r="K12" s="288"/>
      <c r="L12" s="288"/>
      <c r="M12" s="288"/>
      <c r="N12" s="297"/>
    </row>
    <row r="13" spans="1:14" x14ac:dyDescent="0.25">
      <c r="A13" s="666" t="str">
        <f t="shared" ca="1" si="0"/>
        <v>Carrier</v>
      </c>
      <c r="B13" s="666"/>
      <c r="C13" s="667"/>
      <c r="D13" s="682"/>
      <c r="E13" s="683"/>
      <c r="F13" s="684"/>
      <c r="G13" s="663"/>
      <c r="H13" s="680" t="str">
        <f ca="1">IF(M9="","",AA53)</f>
        <v>Number of</v>
      </c>
      <c r="I13" s="681"/>
      <c r="J13" s="681"/>
      <c r="K13" s="681"/>
      <c r="L13" s="293" t="str">
        <f ca="1">IF(L9 ="","",L9)</f>
        <v/>
      </c>
      <c r="M13" s="293">
        <f ca="1">IF(M9="","",'Forest FES-Wave'!BP72)</f>
        <v>12</v>
      </c>
      <c r="N13" s="294"/>
    </row>
    <row r="14" spans="1:14" x14ac:dyDescent="0.25">
      <c r="A14" s="655" t="str">
        <f t="shared" ca="1" si="0"/>
        <v>Carrier</v>
      </c>
      <c r="B14" s="655"/>
      <c r="C14" s="656"/>
      <c r="D14" s="657" t="s">
        <v>8</v>
      </c>
      <c r="E14" s="658"/>
      <c r="F14" s="659"/>
      <c r="G14" s="663" t="str">
        <f ca="1">IF(A2="","",IF(H78+H79&gt;=1,"!",""))</f>
        <v/>
      </c>
      <c r="H14" s="680" t="str">
        <f ca="1">IF(M9="","",AA54)</f>
        <v>carriers needed*</v>
      </c>
      <c r="I14" s="681"/>
      <c r="J14" s="681"/>
      <c r="K14" s="681"/>
      <c r="L14" s="293" t="str">
        <f ca="1">IF(L10 ="","",L10)</f>
        <v/>
      </c>
      <c r="M14" s="293" t="str">
        <f ca="1">IF($D$16=AA64,IF(M9="","",'Forest FES-Wave'!BR72),"")</f>
        <v/>
      </c>
      <c r="N14" s="294"/>
    </row>
    <row r="15" spans="1:14" x14ac:dyDescent="0.25">
      <c r="A15" s="685" t="str">
        <f t="shared" ca="1" si="0"/>
        <v>Distance</v>
      </c>
      <c r="B15" s="685"/>
      <c r="C15" s="686"/>
      <c r="D15" s="660"/>
      <c r="E15" s="661"/>
      <c r="F15" s="662"/>
      <c r="G15" s="663"/>
      <c r="H15" s="295"/>
      <c r="I15" s="296"/>
      <c r="J15" s="296"/>
      <c r="K15" s="296"/>
      <c r="L15" s="296"/>
      <c r="M15" s="296"/>
      <c r="N15" s="297"/>
    </row>
    <row r="16" spans="1:14" x14ac:dyDescent="0.25">
      <c r="A16" s="655" t="str">
        <f t="shared" ca="1" si="0"/>
        <v>One-way draw &lt;&gt;</v>
      </c>
      <c r="B16" s="655"/>
      <c r="C16" s="656"/>
      <c r="D16" s="670" t="s">
        <v>11</v>
      </c>
      <c r="E16" s="671"/>
      <c r="F16" s="672"/>
      <c r="G16" s="663" t="str">
        <f ca="1">IF(A2="","",IF(H80+H81&gt;=1,"!",""))</f>
        <v/>
      </c>
      <c r="H16" s="295"/>
      <c r="I16" s="288"/>
      <c r="J16" s="288"/>
      <c r="K16" s="288"/>
      <c r="L16" s="288"/>
      <c r="M16" s="288"/>
      <c r="N16" s="297"/>
    </row>
    <row r="17" spans="1:14" x14ac:dyDescent="0.25">
      <c r="A17" s="666" t="str">
        <f t="shared" ca="1" si="0"/>
        <v>Center closing</v>
      </c>
      <c r="B17" s="666"/>
      <c r="C17" s="667"/>
      <c r="D17" s="682"/>
      <c r="E17" s="683"/>
      <c r="F17" s="684"/>
      <c r="G17" s="663"/>
      <c r="H17" s="664" t="str">
        <f ca="1">IF(M9="","",AA55)</f>
        <v>Curtain stacking</v>
      </c>
      <c r="I17" s="665"/>
      <c r="J17" s="665"/>
      <c r="K17" s="665"/>
      <c r="L17" s="293" t="str">
        <f ca="1">IF(L9 ="","",L9)</f>
        <v/>
      </c>
      <c r="M17" s="293">
        <f ca="1">IF(M9="","",'Forest FES-Wave'!BP92)</f>
        <v>32</v>
      </c>
      <c r="N17" s="294" t="str">
        <f ca="1">IF(M17="","",'Forest FES-Wave'!AW107)</f>
        <v>cm</v>
      </c>
    </row>
    <row r="18" spans="1:14" x14ac:dyDescent="0.25">
      <c r="A18" s="655" t="str">
        <f ca="1">IF('Forest FES-Wave'!$P$57=0,"",AA47)</f>
        <v>Master type:</v>
      </c>
      <c r="B18" s="655"/>
      <c r="C18" s="656"/>
      <c r="D18" s="657" t="s">
        <v>51</v>
      </c>
      <c r="E18" s="658"/>
      <c r="F18" s="659"/>
      <c r="G18" s="663" t="str">
        <f ca="1">IF(A2="","",IF(H82+H83&gt;=1,"!",""))</f>
        <v/>
      </c>
      <c r="H18" s="664" t="str">
        <f ca="1">IF(M9="","",AA56)</f>
        <v>in open position</v>
      </c>
      <c r="I18" s="665"/>
      <c r="J18" s="665"/>
      <c r="K18" s="665"/>
      <c r="L18" s="293" t="str">
        <f ca="1">IF(L10 ="","",L10)</f>
        <v/>
      </c>
      <c r="M18" s="293" t="str">
        <f ca="1">IF($D$16=AA64,IF(M9="","",'Forest FES-Wave'!BR92),"")</f>
        <v/>
      </c>
      <c r="N18" s="294" t="str">
        <f ca="1">IF(M18="","",'Forest FES-Wave'!AW107)</f>
        <v/>
      </c>
    </row>
    <row r="19" spans="1:14" ht="15.75" thickBot="1" x14ac:dyDescent="0.3">
      <c r="A19" s="666" t="str">
        <f ca="1">IF('Forest FES-Wave'!$P$57=0,"",AA48)</f>
        <v>Steel / Plastic</v>
      </c>
      <c r="B19" s="666"/>
      <c r="C19" s="667"/>
      <c r="D19" s="660"/>
      <c r="E19" s="661"/>
      <c r="F19" s="662"/>
      <c r="G19" s="663"/>
      <c r="H19" s="668" t="str">
        <f ca="1">IF(M9="","",AA57)</f>
        <v>(minimal)</v>
      </c>
      <c r="I19" s="669"/>
      <c r="J19" s="669"/>
      <c r="K19" s="669"/>
      <c r="L19" s="298"/>
      <c r="M19" s="298"/>
      <c r="N19" s="299"/>
    </row>
    <row r="20" spans="1:14" x14ac:dyDescent="0.25">
      <c r="A20" s="655" t="str">
        <f ca="1">IF(D8='Forest FES-Wave'!A76,AA49,"")</f>
        <v/>
      </c>
      <c r="B20" s="655"/>
      <c r="C20" s="656"/>
      <c r="D20" s="670"/>
      <c r="E20" s="671"/>
      <c r="F20" s="672"/>
      <c r="G20" s="676" t="str">
        <f ca="1">IF(A2="","",IF(H84+H85+H86+H87+H88&gt;=1,"!",""))</f>
        <v/>
      </c>
      <c r="H20" s="288"/>
      <c r="I20" s="288"/>
      <c r="J20" s="288"/>
      <c r="K20" s="288"/>
      <c r="L20" s="288"/>
      <c r="M20" s="288"/>
      <c r="N20" s="288"/>
    </row>
    <row r="21" spans="1:14" ht="15.75" thickBot="1" x14ac:dyDescent="0.3">
      <c r="A21" s="677" t="str">
        <f ca="1">IF(D8='Forest FES-Wave'!$A$76,AA50,"")</f>
        <v/>
      </c>
      <c r="B21" s="677"/>
      <c r="C21" s="678"/>
      <c r="D21" s="673"/>
      <c r="E21" s="674"/>
      <c r="F21" s="675"/>
      <c r="G21" s="676"/>
      <c r="H21" s="288"/>
      <c r="I21" s="288"/>
      <c r="J21" s="288"/>
      <c r="K21" s="288"/>
      <c r="L21" s="288"/>
      <c r="M21" s="288"/>
      <c r="N21" s="288"/>
    </row>
    <row r="22" spans="1:14" x14ac:dyDescent="0.25">
      <c r="A22" s="288"/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</row>
    <row r="23" spans="1:14" x14ac:dyDescent="0.25">
      <c r="A23" s="288"/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88"/>
      <c r="N23" s="288"/>
    </row>
    <row r="24" spans="1:14" x14ac:dyDescent="0.25">
      <c r="A24" s="679" t="str">
        <f>'Forest FES-Wave'!A10&amp;"m"</f>
        <v>V2.6.3m</v>
      </c>
      <c r="B24" s="679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  <c r="N24" s="288"/>
    </row>
    <row r="25" spans="1:14" x14ac:dyDescent="0.25">
      <c r="A25" s="654" t="str">
        <f ca="1">'Forest FES-Wave Mobile'!AA68</f>
        <v>* Includes carriers that are placed inside master carriers.</v>
      </c>
      <c r="B25" s="654"/>
      <c r="C25" s="654"/>
      <c r="D25" s="654"/>
      <c r="E25" s="654"/>
      <c r="F25" s="654"/>
      <c r="G25" s="654"/>
      <c r="H25" s="654"/>
      <c r="I25" s="654"/>
      <c r="J25" s="654"/>
      <c r="K25" s="654"/>
      <c r="L25" s="300"/>
      <c r="M25" s="300"/>
      <c r="N25" s="300"/>
    </row>
    <row r="26" spans="1:14" x14ac:dyDescent="0.25">
      <c r="A26" s="649" t="str">
        <f ca="1">'Forest FES-Wave Mobile'!AA69</f>
        <v>- Product tolerances are calculated in the final results.</v>
      </c>
      <c r="B26" s="649"/>
      <c r="C26" s="649"/>
      <c r="D26" s="649"/>
      <c r="E26" s="649"/>
      <c r="F26" s="649"/>
      <c r="G26" s="649"/>
      <c r="H26" s="649"/>
      <c r="I26" s="649"/>
      <c r="J26" s="649"/>
      <c r="K26" s="649"/>
      <c r="L26" s="301"/>
      <c r="M26" s="302"/>
      <c r="N26" s="302"/>
    </row>
    <row r="27" spans="1:14" x14ac:dyDescent="0.25">
      <c r="A27" s="649" t="str">
        <f ca="1">'Forest FES-Wave Mobile'!AA70</f>
        <v>- No rights can be derived from this calculation tool.</v>
      </c>
      <c r="B27" s="649"/>
      <c r="C27" s="649"/>
      <c r="D27" s="649"/>
      <c r="E27" s="649"/>
      <c r="F27" s="649"/>
      <c r="G27" s="649"/>
      <c r="H27" s="649"/>
      <c r="I27" s="649"/>
      <c r="J27" s="649"/>
      <c r="K27" s="649"/>
      <c r="L27" s="649"/>
      <c r="M27" s="302"/>
      <c r="N27" s="302"/>
    </row>
    <row r="28" spans="1:14" x14ac:dyDescent="0.25">
      <c r="A28" s="687" t="str">
        <f ca="1">IF('Forest FES-Wave'!L101=0,"",'Forest FES-Wave'!EW123)</f>
        <v/>
      </c>
      <c r="B28" s="687"/>
      <c r="C28" s="687"/>
      <c r="D28" s="687"/>
      <c r="E28" s="687"/>
      <c r="F28" s="687"/>
      <c r="G28" s="687"/>
      <c r="H28" s="687"/>
      <c r="I28" s="687"/>
      <c r="J28" s="687"/>
      <c r="K28" s="687"/>
      <c r="L28" s="687"/>
    </row>
    <row r="29" spans="1:14" x14ac:dyDescent="0.25">
      <c r="A29" s="687"/>
      <c r="B29" s="687"/>
      <c r="C29" s="687"/>
      <c r="D29" s="687"/>
      <c r="E29" s="687"/>
      <c r="F29" s="687"/>
      <c r="G29" s="687"/>
      <c r="H29" s="687"/>
      <c r="I29" s="687"/>
      <c r="J29" s="687"/>
      <c r="K29" s="687"/>
      <c r="L29" s="687"/>
    </row>
    <row r="31" spans="1:14" customFormat="1" hidden="1" x14ac:dyDescent="0.25"/>
    <row r="32" spans="1:14" customFormat="1" hidden="1" x14ac:dyDescent="0.25"/>
    <row r="33" spans="23:32" customFormat="1" ht="15.75" hidden="1" thickBot="1" x14ac:dyDescent="0.3">
      <c r="W33" s="4"/>
      <c r="X33" s="4"/>
      <c r="Y33" s="4"/>
      <c r="Z33" s="4"/>
      <c r="AA33" s="41" t="s">
        <v>119</v>
      </c>
      <c r="AB33" s="49">
        <v>1</v>
      </c>
      <c r="AC33" s="49">
        <v>2</v>
      </c>
      <c r="AD33" s="49">
        <v>3</v>
      </c>
      <c r="AE33" s="49">
        <v>4</v>
      </c>
    </row>
    <row r="34" spans="23:32" customFormat="1" ht="15.75" hidden="1" thickBot="1" x14ac:dyDescent="0.3">
      <c r="W34" s="41" t="s">
        <v>191</v>
      </c>
      <c r="X34" s="4"/>
      <c r="Y34" s="4"/>
      <c r="Z34" s="4"/>
      <c r="AA34" s="74">
        <f>IF(A2="",-4,SUM(AB34:AE34))</f>
        <v>1</v>
      </c>
      <c r="AB34" s="81">
        <f>IF($A$2=AB35,AB33,0)</f>
        <v>1</v>
      </c>
      <c r="AC34" s="82">
        <f>IF($A$2=AC35,AC33,0)</f>
        <v>0</v>
      </c>
      <c r="AD34" s="82">
        <f>IF($A$2=AD35,AD33,0)</f>
        <v>0</v>
      </c>
      <c r="AE34" s="83">
        <f>IF($A$2=AE35,AE33,0)</f>
        <v>0</v>
      </c>
    </row>
    <row r="35" spans="23:32" customFormat="1" hidden="1" x14ac:dyDescent="0.25">
      <c r="W35" s="100" t="str">
        <f>""</f>
        <v/>
      </c>
      <c r="X35" s="305" t="s">
        <v>115</v>
      </c>
      <c r="Y35" s="305"/>
      <c r="Z35" s="305"/>
      <c r="AA35" s="75" t="str" cm="1">
        <f t="array" aca="1" ref="AA35:AA70" ca="1">OFFSET(AA35:AA70,0,AA34,36,1)</f>
        <v>English</v>
      </c>
      <c r="AB35" s="68" t="s">
        <v>88</v>
      </c>
      <c r="AC35" s="69" t="s">
        <v>87</v>
      </c>
      <c r="AD35" s="69" t="s">
        <v>377</v>
      </c>
      <c r="AE35" s="70" t="s">
        <v>378</v>
      </c>
    </row>
    <row r="36" spans="23:32" customFormat="1" hidden="1" x14ac:dyDescent="0.25">
      <c r="W36" s="101" t="str">
        <f>""</f>
        <v/>
      </c>
      <c r="X36" s="305" t="s">
        <v>110</v>
      </c>
      <c r="Y36" s="305"/>
      <c r="Z36" s="305"/>
      <c r="AA36" s="79" t="str">
        <f ca="1"/>
        <v>Language:</v>
      </c>
      <c r="AB36" s="61" t="s">
        <v>111</v>
      </c>
      <c r="AC36" s="62" t="s">
        <v>86</v>
      </c>
      <c r="AD36" s="62"/>
      <c r="AE36" s="67"/>
    </row>
    <row r="37" spans="23:32" customFormat="1" hidden="1" x14ac:dyDescent="0.25">
      <c r="W37" s="101" t="str">
        <f>""</f>
        <v/>
      </c>
      <c r="X37" s="305" t="s">
        <v>231</v>
      </c>
      <c r="Y37" s="305"/>
      <c r="Z37" s="305"/>
      <c r="AA37" s="79" t="str">
        <f ca="1"/>
        <v>Mobile</v>
      </c>
      <c r="AB37" s="61" t="s">
        <v>232</v>
      </c>
      <c r="AC37" s="62" t="s">
        <v>233</v>
      </c>
      <c r="AD37" s="62"/>
      <c r="AE37" s="67"/>
      <c r="AF37" s="4"/>
    </row>
    <row r="38" spans="23:32" customFormat="1" hidden="1" x14ac:dyDescent="0.25">
      <c r="W38" s="101" t="str">
        <f>""</f>
        <v/>
      </c>
      <c r="X38" s="541" t="s">
        <v>116</v>
      </c>
      <c r="Y38" s="541"/>
      <c r="Z38" s="541"/>
      <c r="AA38" s="76" t="str">
        <f ca="1"/>
        <v>Track type</v>
      </c>
      <c r="AB38" s="6" t="s">
        <v>234</v>
      </c>
      <c r="AC38" s="12" t="s">
        <v>207</v>
      </c>
      <c r="AD38" s="12"/>
      <c r="AE38" s="18"/>
      <c r="AF38" s="4"/>
    </row>
    <row r="39" spans="23:32" customFormat="1" hidden="1" x14ac:dyDescent="0.25">
      <c r="W39" s="101" t="str">
        <f>""</f>
        <v/>
      </c>
      <c r="X39" s="541"/>
      <c r="Y39" s="541"/>
      <c r="Z39" s="541"/>
      <c r="AA39" s="78" t="str">
        <f ca="1"/>
        <v>Track size</v>
      </c>
      <c r="AB39" s="153" t="s">
        <v>235</v>
      </c>
      <c r="AC39" s="154" t="s">
        <v>208</v>
      </c>
      <c r="AD39" s="72"/>
      <c r="AE39" s="56"/>
      <c r="AF39" s="4"/>
    </row>
    <row r="40" spans="23:32" customFormat="1" hidden="1" x14ac:dyDescent="0.25">
      <c r="W40" s="101" t="str">
        <f>""</f>
        <v/>
      </c>
      <c r="X40" s="541"/>
      <c r="Y40" s="541"/>
      <c r="Z40" s="541"/>
      <c r="AA40" s="77" t="str">
        <f ca="1"/>
        <v>in cm</v>
      </c>
      <c r="AB40" s="155" t="s">
        <v>236</v>
      </c>
      <c r="AC40" s="156" t="s">
        <v>236</v>
      </c>
      <c r="AD40" s="87"/>
      <c r="AE40" s="59"/>
      <c r="AF40" s="4"/>
    </row>
    <row r="41" spans="23:32" customFormat="1" hidden="1" x14ac:dyDescent="0.25">
      <c r="W41" s="101" t="str">
        <f>""</f>
        <v/>
      </c>
      <c r="X41" s="541"/>
      <c r="Y41" s="541"/>
      <c r="Z41" s="541"/>
      <c r="AA41" s="76" t="str">
        <f ca="1"/>
        <v>Type of</v>
      </c>
      <c r="AB41" s="6" t="s">
        <v>379</v>
      </c>
      <c r="AC41" s="12" t="s">
        <v>380</v>
      </c>
      <c r="AD41" s="12"/>
      <c r="AE41" s="18"/>
      <c r="AF41" s="1"/>
    </row>
    <row r="42" spans="23:32" customFormat="1" hidden="1" x14ac:dyDescent="0.25">
      <c r="W42" s="101" t="str">
        <f>""</f>
        <v/>
      </c>
      <c r="X42" s="541"/>
      <c r="Y42" s="541"/>
      <c r="Z42" s="541"/>
      <c r="AA42" s="77" t="str">
        <f ca="1"/>
        <v>Carrier</v>
      </c>
      <c r="AB42" s="58" t="s">
        <v>237</v>
      </c>
      <c r="AC42" s="60" t="s">
        <v>238</v>
      </c>
      <c r="AD42" s="60"/>
      <c r="AE42" s="65"/>
      <c r="AF42" s="1"/>
    </row>
    <row r="43" spans="23:32" customFormat="1" hidden="1" x14ac:dyDescent="0.25">
      <c r="W43" s="101" t="str">
        <f>""</f>
        <v/>
      </c>
      <c r="X43" s="541"/>
      <c r="Y43" s="541"/>
      <c r="Z43" s="541"/>
      <c r="AA43" s="78" t="str">
        <f ca="1"/>
        <v>Carrier</v>
      </c>
      <c r="AB43" s="55" t="s">
        <v>237</v>
      </c>
      <c r="AC43" s="57" t="s">
        <v>238</v>
      </c>
      <c r="AD43" s="57"/>
      <c r="AE43" s="66"/>
      <c r="AF43" s="1"/>
    </row>
    <row r="44" spans="23:32" customFormat="1" hidden="1" x14ac:dyDescent="0.25">
      <c r="W44" s="101" t="str">
        <f>""</f>
        <v/>
      </c>
      <c r="X44" s="541"/>
      <c r="Y44" s="541"/>
      <c r="Z44" s="541"/>
      <c r="AA44" s="77" t="str">
        <f ca="1"/>
        <v>Distance</v>
      </c>
      <c r="AB44" s="58" t="s">
        <v>239</v>
      </c>
      <c r="AC44" s="60" t="s">
        <v>240</v>
      </c>
      <c r="AD44" s="60"/>
      <c r="AE44" s="65"/>
      <c r="AF44" s="1"/>
    </row>
    <row r="45" spans="23:32" customFormat="1" hidden="1" x14ac:dyDescent="0.25">
      <c r="W45" s="101" t="str">
        <f>""</f>
        <v/>
      </c>
      <c r="X45" s="541"/>
      <c r="Y45" s="541"/>
      <c r="Z45" s="541"/>
      <c r="AA45" s="78" t="str">
        <f ca="1"/>
        <v>One-way draw &lt;&gt;</v>
      </c>
      <c r="AB45" s="57" t="str">
        <f>AB65 &amp; " &lt;&gt;"</f>
        <v>One-way draw &lt;&gt;</v>
      </c>
      <c r="AC45" s="57" t="str">
        <f>AC65 &amp; " &lt;&gt;"</f>
        <v>Enkelpakket &lt;&gt;</v>
      </c>
      <c r="AD45" s="57"/>
      <c r="AE45" s="66"/>
      <c r="AF45" s="1"/>
    </row>
    <row r="46" spans="23:32" customFormat="1" hidden="1" x14ac:dyDescent="0.25">
      <c r="W46" s="101" t="str">
        <f>""</f>
        <v/>
      </c>
      <c r="X46" s="541"/>
      <c r="Y46" s="541"/>
      <c r="Z46" s="541"/>
      <c r="AA46" s="77" t="str">
        <f ca="1"/>
        <v>Center closing</v>
      </c>
      <c r="AB46" s="60" t="str">
        <f>AB64</f>
        <v>Center closing</v>
      </c>
      <c r="AC46" s="60" t="str">
        <f>AC64</f>
        <v>Middensluitend</v>
      </c>
      <c r="AD46" s="60"/>
      <c r="AE46" s="65"/>
      <c r="AF46" s="1"/>
    </row>
    <row r="47" spans="23:32" customFormat="1" hidden="1" x14ac:dyDescent="0.25">
      <c r="W47" s="101" t="str">
        <f>""</f>
        <v/>
      </c>
      <c r="X47" s="541"/>
      <c r="Y47" s="541"/>
      <c r="Z47" s="541"/>
      <c r="AA47" s="78" t="str">
        <f ca="1"/>
        <v>Master type:</v>
      </c>
      <c r="AB47" s="55" t="s">
        <v>89</v>
      </c>
      <c r="AC47" s="57" t="s">
        <v>241</v>
      </c>
      <c r="AD47" s="57"/>
      <c r="AE47" s="66"/>
      <c r="AF47" s="1"/>
    </row>
    <row r="48" spans="23:32" customFormat="1" hidden="1" x14ac:dyDescent="0.25">
      <c r="W48" s="101" t="str">
        <f>""</f>
        <v/>
      </c>
      <c r="X48" s="541"/>
      <c r="Y48" s="541"/>
      <c r="Z48" s="541"/>
      <c r="AA48" s="77" t="str">
        <f ca="1"/>
        <v>Steel / Plastic</v>
      </c>
      <c r="AB48" s="60" t="str">
        <f>AB66&amp; " / " &amp;AB67</f>
        <v>Steel / Plastic</v>
      </c>
      <c r="AC48" s="60" t="str">
        <f>AC66&amp; " / " &amp;AC67</f>
        <v>Staal / Kunststof</v>
      </c>
      <c r="AD48" s="60"/>
      <c r="AE48" s="65"/>
      <c r="AF48" s="1"/>
    </row>
    <row r="49" spans="23:32" customFormat="1" hidden="1" x14ac:dyDescent="0.25">
      <c r="W49" s="101" t="str">
        <f>""</f>
        <v/>
      </c>
      <c r="X49" s="541"/>
      <c r="Y49" s="541"/>
      <c r="Z49" s="541"/>
      <c r="AA49" s="78" t="str">
        <f ca="1"/>
        <v>Distance overlap</v>
      </c>
      <c r="AB49" s="55" t="s">
        <v>174</v>
      </c>
      <c r="AC49" s="72" t="s">
        <v>176</v>
      </c>
      <c r="AD49" s="57"/>
      <c r="AE49" s="66"/>
      <c r="AF49" s="1"/>
    </row>
    <row r="50" spans="23:32" customFormat="1" hidden="1" x14ac:dyDescent="0.25">
      <c r="W50" s="101" t="str">
        <f>""</f>
        <v/>
      </c>
      <c r="X50" s="541"/>
      <c r="Y50" s="541"/>
      <c r="Z50" s="541"/>
      <c r="AA50" s="77" t="str">
        <f ca="1"/>
        <v>in cm</v>
      </c>
      <c r="AB50" s="64" t="s">
        <v>236</v>
      </c>
      <c r="AC50" s="86" t="s">
        <v>236</v>
      </c>
      <c r="AD50" s="60"/>
      <c r="AE50" s="65"/>
      <c r="AF50" s="1"/>
    </row>
    <row r="51" spans="23:32" customFormat="1" hidden="1" x14ac:dyDescent="0.25">
      <c r="W51" s="101" t="str">
        <f>""</f>
        <v/>
      </c>
      <c r="X51" s="541" t="s">
        <v>118</v>
      </c>
      <c r="Y51" s="541"/>
      <c r="Z51" s="541"/>
      <c r="AA51" s="78" t="str">
        <f ca="1"/>
        <v>Number of hooks</v>
      </c>
      <c r="AB51" s="55" t="s">
        <v>96</v>
      </c>
      <c r="AC51" s="57" t="s">
        <v>137</v>
      </c>
      <c r="AD51" s="57"/>
      <c r="AE51" s="66"/>
      <c r="AF51" s="1"/>
    </row>
    <row r="52" spans="23:32" customFormat="1" hidden="1" x14ac:dyDescent="0.25">
      <c r="W52" s="101" t="str">
        <f>""</f>
        <v/>
      </c>
      <c r="X52" s="541"/>
      <c r="Y52" s="541"/>
      <c r="Z52" s="541"/>
      <c r="AA52" s="77" t="str">
        <f ca="1"/>
        <v xml:space="preserve"> in curtain needed</v>
      </c>
      <c r="AB52" s="58" t="s">
        <v>97</v>
      </c>
      <c r="AC52" s="60" t="s">
        <v>138</v>
      </c>
      <c r="AD52" s="60"/>
      <c r="AE52" s="65"/>
      <c r="AF52" s="1"/>
    </row>
    <row r="53" spans="23:32" customFormat="1" hidden="1" x14ac:dyDescent="0.25">
      <c r="W53" s="101" t="str">
        <f>""</f>
        <v/>
      </c>
      <c r="X53" s="541"/>
      <c r="Y53" s="541"/>
      <c r="Z53" s="541"/>
      <c r="AA53" s="78" t="str">
        <f ca="1"/>
        <v>Number of</v>
      </c>
      <c r="AB53" s="55" t="s">
        <v>98</v>
      </c>
      <c r="AC53" s="57" t="s">
        <v>139</v>
      </c>
      <c r="AD53" s="57"/>
      <c r="AE53" s="66"/>
      <c r="AF53" s="1"/>
    </row>
    <row r="54" spans="23:32" customFormat="1" hidden="1" x14ac:dyDescent="0.25">
      <c r="W54" s="101" t="str">
        <f>""</f>
        <v/>
      </c>
      <c r="X54" s="541"/>
      <c r="Y54" s="541"/>
      <c r="Z54" s="541"/>
      <c r="AA54" s="77" t="str">
        <f ca="1"/>
        <v>carriers needed*</v>
      </c>
      <c r="AB54" s="58" t="s">
        <v>242</v>
      </c>
      <c r="AC54" s="60" t="s">
        <v>243</v>
      </c>
      <c r="AD54" s="60"/>
      <c r="AE54" s="65"/>
      <c r="AF54" s="1"/>
    </row>
    <row r="55" spans="23:32" customFormat="1" hidden="1" x14ac:dyDescent="0.25">
      <c r="W55" s="101" t="str">
        <f>""</f>
        <v/>
      </c>
      <c r="X55" s="541"/>
      <c r="Y55" s="541"/>
      <c r="Z55" s="541"/>
      <c r="AA55" s="78" t="str">
        <f ca="1"/>
        <v>Curtain stacking</v>
      </c>
      <c r="AB55" s="55" t="s">
        <v>100</v>
      </c>
      <c r="AC55" s="57" t="s">
        <v>143</v>
      </c>
      <c r="AD55" s="57"/>
      <c r="AE55" s="66"/>
      <c r="AF55" s="1"/>
    </row>
    <row r="56" spans="23:32" customFormat="1" hidden="1" x14ac:dyDescent="0.25">
      <c r="W56" s="101" t="str">
        <f>""</f>
        <v/>
      </c>
      <c r="X56" s="541"/>
      <c r="Y56" s="541"/>
      <c r="Z56" s="541"/>
      <c r="AA56" s="76" t="str">
        <f ca="1"/>
        <v>in open position</v>
      </c>
      <c r="AB56" s="6" t="s">
        <v>101</v>
      </c>
      <c r="AC56" s="12" t="s">
        <v>141</v>
      </c>
      <c r="AD56" s="12"/>
      <c r="AE56" s="18"/>
      <c r="AF56" s="1"/>
    </row>
    <row r="57" spans="23:32" customFormat="1" hidden="1" x14ac:dyDescent="0.25">
      <c r="W57" s="101" t="str">
        <f>""</f>
        <v/>
      </c>
      <c r="X57" s="541"/>
      <c r="Y57" s="541"/>
      <c r="Z57" s="541"/>
      <c r="AA57" s="77" t="str">
        <f ca="1"/>
        <v>(minimal)</v>
      </c>
      <c r="AB57" s="58" t="s">
        <v>102</v>
      </c>
      <c r="AC57" s="60" t="s">
        <v>142</v>
      </c>
      <c r="AD57" s="60"/>
      <c r="AE57" s="65"/>
      <c r="AF57" s="1"/>
    </row>
    <row r="58" spans="23:32" customFormat="1" hidden="1" x14ac:dyDescent="0.25">
      <c r="W58" s="101" t="str">
        <f>""</f>
        <v/>
      </c>
      <c r="X58" s="541" t="s">
        <v>112</v>
      </c>
      <c r="Y58" s="541"/>
      <c r="Z58" s="549"/>
      <c r="AA58" s="78" t="str">
        <f ca="1"/>
        <v>M</v>
      </c>
      <c r="AB58" s="55" t="s">
        <v>244</v>
      </c>
      <c r="AC58" s="57" t="s">
        <v>244</v>
      </c>
      <c r="AD58" s="149"/>
      <c r="AE58" s="66"/>
      <c r="AF58" s="150" t="s">
        <v>149</v>
      </c>
    </row>
    <row r="59" spans="23:32" customFormat="1" hidden="1" x14ac:dyDescent="0.25">
      <c r="W59" s="101" t="str">
        <f>""</f>
        <v/>
      </c>
      <c r="X59" s="541"/>
      <c r="Y59" s="541"/>
      <c r="Z59" s="549"/>
      <c r="AA59" s="76" t="str">
        <f ca="1"/>
        <v>R</v>
      </c>
      <c r="AB59" s="6" t="s">
        <v>245</v>
      </c>
      <c r="AC59" s="12" t="s">
        <v>245</v>
      </c>
      <c r="AD59" s="151"/>
      <c r="AE59" s="18"/>
      <c r="AF59" s="150" t="s">
        <v>150</v>
      </c>
    </row>
    <row r="60" spans="23:32" customFormat="1" hidden="1" x14ac:dyDescent="0.25">
      <c r="W60" s="101" t="str">
        <f>""</f>
        <v/>
      </c>
      <c r="X60" s="541"/>
      <c r="Y60" s="541"/>
      <c r="Z60" s="549"/>
      <c r="AA60" s="76" t="str">
        <f ca="1"/>
        <v>L</v>
      </c>
      <c r="AB60" s="6" t="s">
        <v>1</v>
      </c>
      <c r="AC60" s="12" t="s">
        <v>1</v>
      </c>
      <c r="AD60" s="151"/>
      <c r="AE60" s="18"/>
      <c r="AF60" s="150" t="s">
        <v>151</v>
      </c>
    </row>
    <row r="61" spans="23:32" customFormat="1" hidden="1" x14ac:dyDescent="0.25">
      <c r="W61" s="101" t="str">
        <f>""</f>
        <v/>
      </c>
      <c r="X61" s="541"/>
      <c r="Y61" s="541"/>
      <c r="Z61" s="549"/>
      <c r="AA61" s="76" t="str">
        <f ca="1"/>
        <v>R</v>
      </c>
      <c r="AB61" s="6" t="s">
        <v>245</v>
      </c>
      <c r="AC61" s="12" t="s">
        <v>245</v>
      </c>
      <c r="AD61" s="151"/>
      <c r="AE61" s="18"/>
      <c r="AF61" s="150" t="s">
        <v>152</v>
      </c>
    </row>
    <row r="62" spans="23:32" customFormat="1" hidden="1" x14ac:dyDescent="0.25">
      <c r="W62" s="101" t="str">
        <f>""</f>
        <v/>
      </c>
      <c r="X62" s="541"/>
      <c r="Y62" s="541"/>
      <c r="Z62" s="549"/>
      <c r="AA62" s="76" t="str">
        <f ca="1"/>
        <v>C</v>
      </c>
      <c r="AB62" s="6" t="s">
        <v>41</v>
      </c>
      <c r="AC62" s="12" t="s">
        <v>40</v>
      </c>
      <c r="AD62" s="151"/>
      <c r="AE62" s="18"/>
      <c r="AF62" s="150" t="s">
        <v>153</v>
      </c>
    </row>
    <row r="63" spans="23:32" customFormat="1" hidden="1" x14ac:dyDescent="0.25">
      <c r="W63" s="101" t="str">
        <f>""</f>
        <v/>
      </c>
      <c r="X63" s="541"/>
      <c r="Y63" s="541"/>
      <c r="Z63" s="549"/>
      <c r="AA63" s="77" t="str">
        <f ca="1"/>
        <v>R</v>
      </c>
      <c r="AB63" s="58" t="s">
        <v>245</v>
      </c>
      <c r="AC63" s="60" t="s">
        <v>245</v>
      </c>
      <c r="AD63" s="152"/>
      <c r="AE63" s="65"/>
      <c r="AF63" s="150" t="s">
        <v>150</v>
      </c>
    </row>
    <row r="64" spans="23:32" customFormat="1" hidden="1" x14ac:dyDescent="0.25">
      <c r="W64" s="101" t="str">
        <f>""</f>
        <v/>
      </c>
      <c r="X64" s="541" t="s">
        <v>113</v>
      </c>
      <c r="Y64" s="541"/>
      <c r="Z64" s="541"/>
      <c r="AA64" s="78" t="str">
        <f ca="1"/>
        <v>Center closing</v>
      </c>
      <c r="AB64" s="55" t="s">
        <v>12</v>
      </c>
      <c r="AC64" s="57" t="s">
        <v>147</v>
      </c>
      <c r="AD64" s="57"/>
      <c r="AE64" s="66"/>
      <c r="AF64" s="1"/>
    </row>
    <row r="65" spans="1:32" customFormat="1" hidden="1" x14ac:dyDescent="0.25">
      <c r="W65" s="101" t="str">
        <f>""</f>
        <v/>
      </c>
      <c r="X65" s="541"/>
      <c r="Y65" s="541"/>
      <c r="Z65" s="541"/>
      <c r="AA65" s="77" t="str">
        <f ca="1"/>
        <v>One-way draw</v>
      </c>
      <c r="AB65" s="58" t="s">
        <v>11</v>
      </c>
      <c r="AC65" s="60" t="s">
        <v>148</v>
      </c>
      <c r="AD65" s="60"/>
      <c r="AE65" s="65"/>
      <c r="AF65" s="1"/>
    </row>
    <row r="66" spans="1:32" customFormat="1" hidden="1" x14ac:dyDescent="0.25">
      <c r="W66" s="101" t="str">
        <f>""</f>
        <v/>
      </c>
      <c r="X66" s="541"/>
      <c r="Y66" s="541"/>
      <c r="Z66" s="541"/>
      <c r="AA66" s="78" t="str">
        <f ca="1"/>
        <v>Steel</v>
      </c>
      <c r="AB66" s="55" t="s">
        <v>51</v>
      </c>
      <c r="AC66" s="57" t="s">
        <v>45</v>
      </c>
      <c r="AD66" s="57"/>
      <c r="AE66" s="66"/>
      <c r="AF66" s="1"/>
    </row>
    <row r="67" spans="1:32" customFormat="1" ht="15.75" hidden="1" thickBot="1" x14ac:dyDescent="0.3">
      <c r="W67" s="101" t="str">
        <f>""</f>
        <v/>
      </c>
      <c r="X67" s="541"/>
      <c r="Y67" s="541"/>
      <c r="Z67" s="541"/>
      <c r="AA67" s="77" t="str">
        <f ca="1"/>
        <v>Plastic</v>
      </c>
      <c r="AB67" s="58" t="s">
        <v>52</v>
      </c>
      <c r="AC67" s="60" t="s">
        <v>46</v>
      </c>
      <c r="AD67" s="60"/>
      <c r="AE67" s="65"/>
      <c r="AF67" s="4"/>
    </row>
    <row r="68" spans="1:32" customFormat="1" ht="15.75" hidden="1" thickBot="1" x14ac:dyDescent="0.3">
      <c r="A68" s="8"/>
      <c r="B68" s="9"/>
      <c r="C68" s="615" t="s">
        <v>64</v>
      </c>
      <c r="D68" s="616"/>
      <c r="E68" s="616"/>
      <c r="F68" s="616"/>
      <c r="G68" s="617"/>
      <c r="H68" s="37">
        <f ca="1">IF(SUM(H69:H124)&gt;0,1,0)</f>
        <v>0</v>
      </c>
      <c r="I68" s="37">
        <f>SUM(L93:L124)</f>
        <v>0</v>
      </c>
      <c r="J68" s="10"/>
      <c r="K68" s="10"/>
      <c r="L68" s="10"/>
      <c r="M68" s="10"/>
      <c r="N68" s="10"/>
      <c r="O68" s="4"/>
      <c r="P68" s="4"/>
      <c r="Q68" s="4"/>
      <c r="R68" s="4"/>
      <c r="S68" s="4"/>
      <c r="W68" s="101" t="str">
        <f>""</f>
        <v/>
      </c>
      <c r="X68" s="650" t="s">
        <v>114</v>
      </c>
      <c r="Y68" s="541"/>
      <c r="Z68" s="549"/>
      <c r="AA68" s="78" t="str">
        <f ca="1"/>
        <v>* Includes carriers that are placed inside master carriers.</v>
      </c>
      <c r="AB68" s="6" t="s">
        <v>347</v>
      </c>
      <c r="AC68" s="12" t="s">
        <v>348</v>
      </c>
      <c r="AD68" s="57"/>
      <c r="AE68" s="66"/>
      <c r="AF68" s="1"/>
    </row>
    <row r="69" spans="1:32" customFormat="1" hidden="1" x14ac:dyDescent="0.25">
      <c r="A69" s="625" t="s">
        <v>349</v>
      </c>
      <c r="B69" s="626"/>
      <c r="C69" s="415" t="s">
        <v>357</v>
      </c>
      <c r="D69" s="416"/>
      <c r="E69" s="416"/>
      <c r="F69" s="416"/>
      <c r="G69" s="416"/>
      <c r="H69" s="262">
        <f>IF(D8="",1,0)</f>
        <v>0</v>
      </c>
      <c r="I69" s="46"/>
      <c r="J69" s="270"/>
      <c r="K69" s="271"/>
      <c r="L69" s="271"/>
      <c r="M69" s="271"/>
      <c r="N69" s="270"/>
      <c r="O69" s="5"/>
      <c r="P69" s="5"/>
      <c r="Q69" s="5"/>
      <c r="R69" s="5"/>
      <c r="S69" s="164"/>
      <c r="W69" s="101" t="str">
        <f>""</f>
        <v/>
      </c>
      <c r="X69" s="650"/>
      <c r="Y69" s="541"/>
      <c r="Z69" s="549"/>
      <c r="AA69" s="76" t="str">
        <f ca="1"/>
        <v>- Product tolerances are calculated in the final results.</v>
      </c>
      <c r="AB69" s="63" t="s">
        <v>29</v>
      </c>
      <c r="AC69" s="85" t="s">
        <v>154</v>
      </c>
      <c r="AD69" s="12"/>
      <c r="AE69" s="18"/>
      <c r="AF69" s="1"/>
    </row>
    <row r="70" spans="1:32" customFormat="1" ht="15.75" hidden="1" thickBot="1" x14ac:dyDescent="0.3">
      <c r="A70" s="629"/>
      <c r="B70" s="630"/>
      <c r="C70" s="377" t="s">
        <v>159</v>
      </c>
      <c r="D70" s="379"/>
      <c r="E70" s="379"/>
      <c r="F70" s="379"/>
      <c r="G70" s="379"/>
      <c r="H70" s="260">
        <f ca="1">IF(ISERROR(N70),1,0)</f>
        <v>0</v>
      </c>
      <c r="I70" s="265"/>
      <c r="J70" s="434" t="s">
        <v>360</v>
      </c>
      <c r="K70" s="435"/>
      <c r="L70" s="435"/>
      <c r="M70" s="435"/>
      <c r="N70" s="436" t="str">
        <f ca="1">VLOOKUP(D8,'Forest FES-Wave'!BC105:BC126,1,FALSE)</f>
        <v>FMS (Shuttle)</v>
      </c>
      <c r="O70" s="351"/>
      <c r="P70" s="351"/>
      <c r="Q70" s="351"/>
      <c r="R70" s="351"/>
      <c r="S70" s="9"/>
      <c r="W70" s="102" t="str">
        <f>""</f>
        <v/>
      </c>
      <c r="X70" s="651"/>
      <c r="Y70" s="652"/>
      <c r="Z70" s="653"/>
      <c r="AA70" s="257" t="str">
        <f ca="1"/>
        <v>- No rights can be derived from this calculation tool.</v>
      </c>
      <c r="AB70" s="258" t="s">
        <v>19</v>
      </c>
      <c r="AC70" s="259" t="s">
        <v>157</v>
      </c>
      <c r="AD70" s="260"/>
      <c r="AE70" s="261"/>
      <c r="AF70" s="1"/>
    </row>
    <row r="71" spans="1:32" customFormat="1" hidden="1" x14ac:dyDescent="0.25">
      <c r="A71" s="625" t="s">
        <v>350</v>
      </c>
      <c r="B71" s="626"/>
      <c r="C71" s="415" t="s">
        <v>357</v>
      </c>
      <c r="D71" s="416"/>
      <c r="E71" s="416"/>
      <c r="F71" s="416"/>
      <c r="G71" s="416"/>
      <c r="H71" s="12">
        <f>IF(D10="",1,0)</f>
        <v>0</v>
      </c>
      <c r="I71" s="38"/>
      <c r="J71" s="6"/>
      <c r="K71" s="4"/>
      <c r="L71" s="4"/>
      <c r="M71" s="4"/>
      <c r="N71" s="6"/>
      <c r="O71" s="4"/>
      <c r="P71" s="4"/>
      <c r="Q71" s="4"/>
      <c r="R71" s="166"/>
      <c r="S71" s="187"/>
    </row>
    <row r="72" spans="1:32" customFormat="1" hidden="1" x14ac:dyDescent="0.25">
      <c r="A72" s="627"/>
      <c r="B72" s="628"/>
      <c r="C72" s="559" t="s">
        <v>358</v>
      </c>
      <c r="D72" s="308"/>
      <c r="E72" s="308"/>
      <c r="F72" s="308"/>
      <c r="G72" s="308"/>
      <c r="H72" s="12">
        <f>IF(ISTEXT(D10)=TRUE,1,0)</f>
        <v>0</v>
      </c>
      <c r="I72" s="38"/>
      <c r="J72" s="6"/>
      <c r="K72" s="4"/>
      <c r="L72" s="4"/>
      <c r="M72" s="4"/>
      <c r="N72" s="6"/>
      <c r="O72" s="4"/>
      <c r="P72" s="4"/>
      <c r="Q72" s="4"/>
      <c r="R72" s="4"/>
      <c r="S72" s="7"/>
    </row>
    <row r="73" spans="1:32" customFormat="1" hidden="1" x14ac:dyDescent="0.25">
      <c r="A73" s="627"/>
      <c r="B73" s="628"/>
      <c r="C73" s="559" t="s">
        <v>20</v>
      </c>
      <c r="D73" s="308"/>
      <c r="E73" s="308"/>
      <c r="F73" s="308"/>
      <c r="G73" s="308"/>
      <c r="H73" s="89">
        <f ca="1">IF('Forest FES-Wave'!AH108&lt;'Forest FES-Wave'!Q106,1,0)</f>
        <v>0</v>
      </c>
      <c r="I73" s="38"/>
      <c r="J73" s="6"/>
      <c r="K73" s="4"/>
      <c r="L73" s="4"/>
      <c r="M73" s="4"/>
      <c r="N73" s="6"/>
      <c r="O73" s="4"/>
      <c r="P73" s="4"/>
      <c r="Q73" s="4"/>
      <c r="R73" s="4"/>
      <c r="S73" s="7"/>
    </row>
    <row r="74" spans="1:32" customFormat="1" ht="15.75" hidden="1" thickBot="1" x14ac:dyDescent="0.3">
      <c r="A74" s="629"/>
      <c r="B74" s="630"/>
      <c r="C74" s="614" t="s">
        <v>160</v>
      </c>
      <c r="D74" s="413"/>
      <c r="E74" s="413"/>
      <c r="F74" s="413"/>
      <c r="G74" s="413"/>
      <c r="H74" s="260">
        <f ca="1">IF('Forest FES-Wave'!AH108&gt;'Forest FES-Wave'!Q107,1,0)</f>
        <v>0</v>
      </c>
      <c r="I74" s="265"/>
      <c r="J74" s="14"/>
      <c r="K74" s="8"/>
      <c r="L74" s="8"/>
      <c r="M74" s="8"/>
      <c r="N74" s="14"/>
      <c r="O74" s="8"/>
      <c r="P74" s="8"/>
      <c r="Q74" s="8"/>
      <c r="R74" s="8"/>
      <c r="S74" s="9"/>
    </row>
    <row r="75" spans="1:32" customFormat="1" hidden="1" x14ac:dyDescent="0.25">
      <c r="A75" s="625" t="s">
        <v>351</v>
      </c>
      <c r="B75" s="626"/>
      <c r="C75" s="415" t="s">
        <v>357</v>
      </c>
      <c r="D75" s="416"/>
      <c r="E75" s="416"/>
      <c r="F75" s="416"/>
      <c r="G75" s="416"/>
      <c r="H75" s="12">
        <f>IF(D12="",1,0)</f>
        <v>0</v>
      </c>
      <c r="I75" s="39"/>
      <c r="J75" s="6"/>
      <c r="K75" s="4"/>
      <c r="L75" s="4"/>
      <c r="M75" s="4"/>
      <c r="N75" s="6"/>
      <c r="O75" s="4"/>
      <c r="P75" s="4"/>
      <c r="Q75" s="4"/>
      <c r="R75" s="1"/>
      <c r="S75" s="163"/>
    </row>
    <row r="76" spans="1:32" customFormat="1" hidden="1" x14ac:dyDescent="0.25">
      <c r="A76" s="627"/>
      <c r="B76" s="628"/>
      <c r="C76" s="331" t="s">
        <v>159</v>
      </c>
      <c r="D76" s="305"/>
      <c r="E76" s="305"/>
      <c r="F76" s="305"/>
      <c r="G76" s="309"/>
      <c r="H76" s="12">
        <f>IF(ISERROR(N76),1,0)</f>
        <v>0</v>
      </c>
      <c r="I76" s="38"/>
      <c r="J76" s="618" t="s">
        <v>360</v>
      </c>
      <c r="K76" s="619"/>
      <c r="L76" s="619"/>
      <c r="M76" s="619"/>
      <c r="N76" s="337" t="str">
        <f>VLOOKUP(D12,'Forest FES-Wave'!AW100:BA102,1,FALSE)</f>
        <v>Easywave</v>
      </c>
      <c r="O76" s="321"/>
      <c r="P76" s="321"/>
      <c r="Q76" s="321"/>
      <c r="R76" s="321"/>
      <c r="S76" s="163"/>
    </row>
    <row r="77" spans="1:32" customFormat="1" ht="15.75" hidden="1" thickBot="1" x14ac:dyDescent="0.3">
      <c r="A77" s="629"/>
      <c r="B77" s="630"/>
      <c r="C77" s="614" t="s">
        <v>82</v>
      </c>
      <c r="D77" s="413"/>
      <c r="E77" s="413"/>
      <c r="F77" s="413"/>
      <c r="G77" s="413"/>
      <c r="H77" s="260">
        <f ca="1">IF('Forest FES-Wave'!BM99=0,IF(ISERROR(N77),1,0),IF(ISERROR(Q77),1,0))</f>
        <v>0</v>
      </c>
      <c r="I77" s="268"/>
      <c r="J77" s="377" t="s">
        <v>320</v>
      </c>
      <c r="K77" s="379"/>
      <c r="L77" s="379"/>
      <c r="M77" s="379"/>
      <c r="N77" s="377" t="str">
        <f ca="1">VLOOKUP(D12,'Forest FES-Wave'!BC100:BC102,1,FALSE)</f>
        <v>Easywave</v>
      </c>
      <c r="O77" s="379"/>
      <c r="P77" s="379"/>
      <c r="Q77" s="574" t="str">
        <f ca="1">VLOOKUP(D12,'Forest FES-Wave'!BI100:BI102,1,FALSE)</f>
        <v>Easywave</v>
      </c>
      <c r="R77" s="379"/>
      <c r="S77" s="378"/>
    </row>
    <row r="78" spans="1:32" customFormat="1" hidden="1" x14ac:dyDescent="0.25">
      <c r="A78" s="625" t="s">
        <v>240</v>
      </c>
      <c r="B78" s="626"/>
      <c r="C78" s="415" t="s">
        <v>357</v>
      </c>
      <c r="D78" s="416"/>
      <c r="E78" s="416"/>
      <c r="F78" s="416"/>
      <c r="G78" s="416"/>
      <c r="H78" s="12">
        <f>IF(D14="",1,0)</f>
        <v>0</v>
      </c>
      <c r="I78" s="40"/>
      <c r="J78" s="6"/>
      <c r="K78" s="4"/>
      <c r="L78" s="4"/>
      <c r="M78" s="4"/>
      <c r="N78" s="6"/>
      <c r="O78" s="4"/>
      <c r="P78" s="4"/>
      <c r="Q78" s="4"/>
      <c r="R78" s="1"/>
      <c r="S78" s="163"/>
    </row>
    <row r="79" spans="1:32" customFormat="1" ht="15.75" hidden="1" thickBot="1" x14ac:dyDescent="0.3">
      <c r="A79" s="629"/>
      <c r="B79" s="630"/>
      <c r="C79" s="614" t="s">
        <v>324</v>
      </c>
      <c r="D79" s="413"/>
      <c r="E79" s="413"/>
      <c r="F79" s="413"/>
      <c r="G79" s="413"/>
      <c r="H79" s="260">
        <f ca="1">IF(D12="",0,IF('Forest FES-Wave'!BM93=0,IF(ISERROR(N79),1,0),IF(ISERROR(Q79),1,0)))</f>
        <v>0</v>
      </c>
      <c r="I79" s="268"/>
      <c r="J79" s="377" t="s">
        <v>325</v>
      </c>
      <c r="K79" s="379"/>
      <c r="L79" s="379"/>
      <c r="M79" s="379"/>
      <c r="N79" s="377" t="str">
        <f ca="1">VLOOKUP(D14,'Forest FES-Wave'!BC94:BC96,1,FALSE)</f>
        <v>8 cm (60%)</v>
      </c>
      <c r="O79" s="379"/>
      <c r="P79" s="379"/>
      <c r="Q79" s="574" t="str">
        <f ca="1">VLOOKUP(D14,'Forest FES-Wave'!BI94:BI96,1,FALSE)</f>
        <v>8 cm (60%)</v>
      </c>
      <c r="R79" s="379"/>
      <c r="S79" s="378"/>
    </row>
    <row r="80" spans="1:32" customFormat="1" hidden="1" x14ac:dyDescent="0.25">
      <c r="A80" s="625" t="s">
        <v>352</v>
      </c>
      <c r="B80" s="626"/>
      <c r="C80" s="415" t="s">
        <v>357</v>
      </c>
      <c r="D80" s="416"/>
      <c r="E80" s="416"/>
      <c r="F80" s="416"/>
      <c r="G80" s="416"/>
      <c r="H80" s="12">
        <f>IF(D16="",1,0)</f>
        <v>0</v>
      </c>
      <c r="I80" s="40"/>
      <c r="J80" s="6"/>
      <c r="K80" s="4"/>
      <c r="L80" s="4"/>
      <c r="M80" s="4"/>
      <c r="N80" s="6"/>
      <c r="O80" s="4"/>
      <c r="P80" s="4"/>
      <c r="Q80" s="4"/>
      <c r="R80" s="1"/>
      <c r="S80" s="163"/>
    </row>
    <row r="81" spans="1:19" customFormat="1" ht="15.75" hidden="1" thickBot="1" x14ac:dyDescent="0.3">
      <c r="A81" s="629"/>
      <c r="B81" s="630"/>
      <c r="C81" s="377" t="s">
        <v>159</v>
      </c>
      <c r="D81" s="379"/>
      <c r="E81" s="379"/>
      <c r="F81" s="379"/>
      <c r="G81" s="379"/>
      <c r="H81" s="260">
        <f ca="1">IF(ISERROR(N81),1,0)</f>
        <v>0</v>
      </c>
      <c r="I81" s="265"/>
      <c r="J81" s="434" t="s">
        <v>360</v>
      </c>
      <c r="K81" s="435"/>
      <c r="L81" s="435"/>
      <c r="M81" s="435"/>
      <c r="N81" s="436" t="str">
        <f ca="1">VLOOKUP(D16,'Forest FES-Wave'!AW105:AW106,1,FALSE)</f>
        <v>One-way draw</v>
      </c>
      <c r="O81" s="351"/>
      <c r="P81" s="351"/>
      <c r="Q81" s="351"/>
      <c r="R81" s="351"/>
      <c r="S81" s="26"/>
    </row>
    <row r="82" spans="1:19" customFormat="1" hidden="1" x14ac:dyDescent="0.25">
      <c r="A82" s="625" t="s">
        <v>16</v>
      </c>
      <c r="B82" s="626"/>
      <c r="C82" s="415" t="s">
        <v>357</v>
      </c>
      <c r="D82" s="416"/>
      <c r="E82" s="416"/>
      <c r="F82" s="416"/>
      <c r="G82" s="416"/>
      <c r="H82" s="12">
        <f ca="1">IF('Forest FES-Wave'!P57=0,0,IF(D18="",1,0))</f>
        <v>0</v>
      </c>
      <c r="I82" s="38"/>
      <c r="J82" s="6"/>
      <c r="K82" s="4"/>
      <c r="L82" s="4"/>
      <c r="M82" s="4"/>
      <c r="N82" s="6"/>
      <c r="O82" s="4"/>
      <c r="P82" s="4"/>
      <c r="Q82" s="4"/>
      <c r="R82" s="4"/>
      <c r="S82" s="163"/>
    </row>
    <row r="83" spans="1:19" customFormat="1" ht="15.75" hidden="1" thickBot="1" x14ac:dyDescent="0.3">
      <c r="A83" s="629"/>
      <c r="B83" s="630"/>
      <c r="C83" s="377" t="s">
        <v>159</v>
      </c>
      <c r="D83" s="379"/>
      <c r="E83" s="379"/>
      <c r="F83" s="379"/>
      <c r="G83" s="379"/>
      <c r="H83" s="260">
        <f ca="1">IF('Forest FES-Wave'!P57=1,IF(ISERROR(N83),1,0),0)</f>
        <v>0</v>
      </c>
      <c r="I83" s="265"/>
      <c r="J83" s="434" t="s">
        <v>360</v>
      </c>
      <c r="K83" s="435"/>
      <c r="L83" s="435"/>
      <c r="M83" s="435"/>
      <c r="N83" s="436" t="str">
        <f ca="1">VLOOKUP(D18,'Forest FES-Wave'!AW109:AW110,1,FALSE)</f>
        <v>Steel</v>
      </c>
      <c r="O83" s="351"/>
      <c r="P83" s="351"/>
      <c r="Q83" s="351"/>
      <c r="R83" s="351"/>
      <c r="S83" s="26"/>
    </row>
    <row r="84" spans="1:19" customFormat="1" hidden="1" x14ac:dyDescent="0.25">
      <c r="A84" s="625" t="s">
        <v>353</v>
      </c>
      <c r="B84" s="626"/>
      <c r="C84" s="415" t="s">
        <v>357</v>
      </c>
      <c r="D84" s="416"/>
      <c r="E84" s="416"/>
      <c r="F84" s="416"/>
      <c r="G84" s="416"/>
      <c r="H84" s="85">
        <f ca="1">IF(D8='Forest FES-Wave'!A76,IF(D20="",1,0),0)</f>
        <v>0</v>
      </c>
      <c r="I84" s="38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customFormat="1" hidden="1" x14ac:dyDescent="0.25">
      <c r="A85" s="627"/>
      <c r="B85" s="628"/>
      <c r="C85" s="559" t="s">
        <v>358</v>
      </c>
      <c r="D85" s="308"/>
      <c r="E85" s="308"/>
      <c r="F85" s="308"/>
      <c r="G85" s="308"/>
      <c r="H85" s="89">
        <f>IF(ISTEXT(D20)=TRUE,1,0)</f>
        <v>0</v>
      </c>
      <c r="I85" s="38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customFormat="1" hidden="1" x14ac:dyDescent="0.25">
      <c r="A86" s="627"/>
      <c r="B86" s="628"/>
      <c r="C86" s="559" t="s">
        <v>69</v>
      </c>
      <c r="D86" s="308"/>
      <c r="E86" s="308"/>
      <c r="F86" s="308"/>
      <c r="G86" s="308"/>
      <c r="H86" s="89">
        <f ca="1">IF(D8='Forest FES-Wave'!A76,IF(D16='Forest FES-Wave'!AW105,1,0),0)</f>
        <v>0</v>
      </c>
      <c r="I86" s="38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customFormat="1" hidden="1" x14ac:dyDescent="0.25">
      <c r="A87" s="627"/>
      <c r="B87" s="628"/>
      <c r="C87" s="559" t="s">
        <v>67</v>
      </c>
      <c r="D87" s="308"/>
      <c r="E87" s="308"/>
      <c r="F87" s="308"/>
      <c r="G87" s="308"/>
      <c r="H87" s="89">
        <f ca="1">IF(D8='Forest FES-Wave'!A76,IF(D20&lt;(0-('Forest FES-Wave'!AH108-('Forest FES-Wave'!U57+'Forest FES-Wave'!W57))),1,0),0)</f>
        <v>0</v>
      </c>
      <c r="I87" s="38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customFormat="1" ht="15.75" hidden="1" thickBot="1" x14ac:dyDescent="0.3">
      <c r="A88" s="629"/>
      <c r="B88" s="630"/>
      <c r="C88" s="614" t="s">
        <v>68</v>
      </c>
      <c r="D88" s="413"/>
      <c r="E88" s="413"/>
      <c r="F88" s="413"/>
      <c r="G88" s="413"/>
      <c r="H88" s="267">
        <f ca="1">IF(D8='Forest FES-Wave'!A76,IF(D20&gt;('Forest FES-Wave'!AH108-('Forest FES-Wave'!U57+'Forest FES-Wave'!W57)),1,0),0)</f>
        <v>0</v>
      </c>
      <c r="I88" s="265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customFormat="1" hidden="1" x14ac:dyDescent="0.25">
      <c r="A89" s="625" t="s">
        <v>356</v>
      </c>
      <c r="B89" s="626"/>
      <c r="C89" s="559" t="s">
        <v>189</v>
      </c>
      <c r="D89" s="308"/>
      <c r="E89" s="308"/>
      <c r="F89" s="308"/>
      <c r="G89" s="308"/>
      <c r="H89" s="89">
        <f>IF('Forest FES-Wave'!AK105='Forest FES-Wave'!AW108,1,0)</f>
        <v>0</v>
      </c>
      <c r="I89" s="38"/>
      <c r="P89" s="4"/>
      <c r="Q89" s="4"/>
      <c r="R89" s="4"/>
      <c r="S89" s="1"/>
    </row>
    <row r="90" spans="1:19" customFormat="1" hidden="1" x14ac:dyDescent="0.25">
      <c r="A90" s="627"/>
      <c r="B90" s="628"/>
      <c r="C90" s="559" t="s">
        <v>282</v>
      </c>
      <c r="D90" s="308"/>
      <c r="E90" s="308"/>
      <c r="F90" s="308"/>
      <c r="G90" s="634"/>
      <c r="H90" s="98"/>
      <c r="I90" s="7">
        <f ca="1">'Forest FES-Wave'!BJ105</f>
        <v>0</v>
      </c>
      <c r="P90" s="4"/>
      <c r="Q90" s="4"/>
      <c r="R90" s="4"/>
      <c r="S90" s="1"/>
    </row>
    <row r="91" spans="1:19" customFormat="1" hidden="1" x14ac:dyDescent="0.25">
      <c r="A91" s="627"/>
      <c r="B91" s="628"/>
      <c r="C91" s="631" t="s">
        <v>342</v>
      </c>
      <c r="D91" s="632"/>
      <c r="E91" s="632"/>
      <c r="F91" s="632"/>
      <c r="G91" s="633"/>
      <c r="H91" s="98"/>
      <c r="I91" s="7">
        <f ca="1">'Forest FES-Wave'!BM93</f>
        <v>0</v>
      </c>
      <c r="P91" s="4"/>
      <c r="Q91" s="4"/>
      <c r="R91" s="4"/>
      <c r="S91" s="50"/>
    </row>
    <row r="92" spans="1:19" customFormat="1" ht="15.75" hidden="1" thickBot="1" x14ac:dyDescent="0.3">
      <c r="A92" s="629"/>
      <c r="B92" s="630"/>
      <c r="C92" s="614" t="s">
        <v>278</v>
      </c>
      <c r="D92" s="413"/>
      <c r="E92" s="413"/>
      <c r="F92" s="413"/>
      <c r="G92" s="635"/>
      <c r="H92" s="192"/>
      <c r="I92" s="9">
        <f ca="1">'Forest FES-Wave'!BM99</f>
        <v>0</v>
      </c>
      <c r="P92" s="4"/>
      <c r="Q92" s="4"/>
      <c r="R92" s="4"/>
      <c r="S92" s="50"/>
    </row>
    <row r="93" spans="1:19" customFormat="1" hidden="1" x14ac:dyDescent="0.25"/>
  </sheetData>
  <sheetProtection algorithmName="SHA-512" hashValue="AP9XSQWWoXJwauDNVT+pDcx5ZHpVjgNPvT6pmNq/2olamytTd78fuSgsR3WFuHT+oM/4HOSGR0iDVQTBC4E+lg==" saltValue="Pi2JLwa9Czxl85m5rmdbdw==" spinCount="100000" sheet="1" objects="1" scenarios="1" selectLockedCells="1"/>
  <mergeCells count="98">
    <mergeCell ref="A28:L29"/>
    <mergeCell ref="A1:B1"/>
    <mergeCell ref="C1:C2"/>
    <mergeCell ref="A2:B2"/>
    <mergeCell ref="D5:N6"/>
    <mergeCell ref="A8:C9"/>
    <mergeCell ref="D8:F9"/>
    <mergeCell ref="G8:G9"/>
    <mergeCell ref="H9:K9"/>
    <mergeCell ref="A12:C12"/>
    <mergeCell ref="D12:F13"/>
    <mergeCell ref="G12:G13"/>
    <mergeCell ref="A13:C13"/>
    <mergeCell ref="H13:K13"/>
    <mergeCell ref="A10:C10"/>
    <mergeCell ref="D10:F11"/>
    <mergeCell ref="G10:G11"/>
    <mergeCell ref="H10:K10"/>
    <mergeCell ref="A11:C11"/>
    <mergeCell ref="A16:C16"/>
    <mergeCell ref="D16:F17"/>
    <mergeCell ref="G16:G17"/>
    <mergeCell ref="A17:C17"/>
    <mergeCell ref="H17:K17"/>
    <mergeCell ref="A14:C14"/>
    <mergeCell ref="D14:F15"/>
    <mergeCell ref="G14:G15"/>
    <mergeCell ref="H14:K14"/>
    <mergeCell ref="A15:C15"/>
    <mergeCell ref="A25:K25"/>
    <mergeCell ref="A18:C18"/>
    <mergeCell ref="D18:F19"/>
    <mergeCell ref="G18:G19"/>
    <mergeCell ref="H18:K18"/>
    <mergeCell ref="A19:C19"/>
    <mergeCell ref="H19:K19"/>
    <mergeCell ref="A20:C20"/>
    <mergeCell ref="D20:F21"/>
    <mergeCell ref="G20:G21"/>
    <mergeCell ref="A21:C21"/>
    <mergeCell ref="A24:B24"/>
    <mergeCell ref="A26:K26"/>
    <mergeCell ref="A27:L27"/>
    <mergeCell ref="X68:Z70"/>
    <mergeCell ref="X64:Z67"/>
    <mergeCell ref="X58:Z63"/>
    <mergeCell ref="X38:Z50"/>
    <mergeCell ref="X51:Z57"/>
    <mergeCell ref="X37:Z37"/>
    <mergeCell ref="X35:Z35"/>
    <mergeCell ref="X36:Z36"/>
    <mergeCell ref="C68:G68"/>
    <mergeCell ref="A69:B70"/>
    <mergeCell ref="C69:G69"/>
    <mergeCell ref="C70:G70"/>
    <mergeCell ref="J70:M70"/>
    <mergeCell ref="N70:R70"/>
    <mergeCell ref="A71:B74"/>
    <mergeCell ref="C71:G71"/>
    <mergeCell ref="C72:G72"/>
    <mergeCell ref="C73:G73"/>
    <mergeCell ref="C74:G74"/>
    <mergeCell ref="Q79:S79"/>
    <mergeCell ref="A75:B77"/>
    <mergeCell ref="C75:G75"/>
    <mergeCell ref="C76:G76"/>
    <mergeCell ref="J76:M76"/>
    <mergeCell ref="N76:R76"/>
    <mergeCell ref="C77:G77"/>
    <mergeCell ref="J77:M77"/>
    <mergeCell ref="N77:P77"/>
    <mergeCell ref="Q77:S77"/>
    <mergeCell ref="A78:B79"/>
    <mergeCell ref="C78:G78"/>
    <mergeCell ref="C79:G79"/>
    <mergeCell ref="J79:M79"/>
    <mergeCell ref="N79:P79"/>
    <mergeCell ref="A82:B83"/>
    <mergeCell ref="C82:G82"/>
    <mergeCell ref="C83:G83"/>
    <mergeCell ref="J83:M83"/>
    <mergeCell ref="N83:R83"/>
    <mergeCell ref="A80:B81"/>
    <mergeCell ref="C80:G80"/>
    <mergeCell ref="C81:G81"/>
    <mergeCell ref="J81:M81"/>
    <mergeCell ref="N81:R81"/>
    <mergeCell ref="A84:B88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A89:B92"/>
  </mergeCells>
  <dataValidations count="4">
    <dataValidation type="list" allowBlank="1" showInputMessage="1" showErrorMessage="1" sqref="D12:F13" xr:uid="{9E31DD2A-1A2F-4176-AC28-28FB9A983C1D}">
      <formula1>Glijder</formula1>
    </dataValidation>
    <dataValidation type="list" allowBlank="1" showInputMessage="1" showErrorMessage="1" sqref="D14:F15" xr:uid="{4232D9C8-2C5D-4F99-948F-7F8861370A64}">
      <formula1>Afstandglijder</formula1>
    </dataValidation>
    <dataValidation type="list" allowBlank="1" showInputMessage="1" showErrorMessage="1" sqref="D16:F17" xr:uid="{120D45FE-04B4-4A3E-B12A-116FD2A31A82}">
      <formula1>Pakketzijde</formula1>
    </dataValidation>
    <dataValidation type="list" allowBlank="1" showInputMessage="1" showErrorMessage="1" sqref="D18:F19" xr:uid="{4F4C959E-6DCA-4F72-B032-962DB1D40D1E}">
      <formula1>Voorloper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0664A43-255F-481A-972A-244AEC1CA25E}">
          <x14:formula1>
            <xm:f>'Forest FES-Wave'!$BC$105:$BC$126</xm:f>
          </x14:formula1>
          <xm:sqref>D8:F9</xm:sqref>
        </x14:dataValidation>
        <x14:dataValidation type="list" allowBlank="1" showInputMessage="1" showErrorMessage="1" xr:uid="{5000AB3B-4939-4D7C-B80E-804E44B6D05D}">
          <x14:formula1>
            <xm:f>'Forest FES-Wave'!$EX$67:$EY$67</xm:f>
          </x14:formula1>
          <xm:sqref>A2:B2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m U V s U f y t c Y + k A A A A 9 Q A A A B I A H A B D b 2 5 m a W c v U G F j a 2 F n Z S 5 4 b W w g o h g A K K A U A A A A A A A A A A A A A A A A A A A A A A A A A A A A h Y 8 x D o I w G I W v Q r r T 1 h q V k J 8 y u I I x M T G u T a n Q C M X Q Y r m b g 0 f y C m I U d X N 8 3 / u G 9 + 7 X G 6 R D U w c X 1 V n d m g T N M E W B M r I t t C k T 1 L t j G K G U w 1 b I k y h V M M r G x o M t E l Q 5 d 4 4 J 8 d 5 j P 8 d t V x J G 6 Y w c 8 m w n K 9 U I 9 J H 1 f z n U x j p h p E I c 9 q 8 x n O F o i V d s g S m Q i U G u z b d n 4 9 x n + w N h 3 d e u 7 x Q 3 d b j J g E w R y P s C f w B Q S w M E F A A C A A g A m U V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l F b F E o i k e 4 D g A A A B E A A A A T A B w A R m 9 y b X V s Y X M v U 2 V j d G l v b j E u b S C i G A A o o B Q A A A A A A A A A A A A A A A A A A A A A A A A A A A A r T k 0 u y c z P U w i G 0 I b W A F B L A Q I t A B Q A A g A I A J l F b F H 8 r X G P p A A A A P U A A A A S A A A A A A A A A A A A A A A A A A A A A A B D b 2 5 m a W c v U G F j a 2 F n Z S 5 4 b W x Q S w E C L Q A U A A I A C A C Z R W x R D 8 r p q 6 Q A A A D p A A A A E w A A A A A A A A A A A A A A A A D w A A A A W 0 N v b n R l b n R f V H l w Z X N d L n h t b F B L A Q I t A B Q A A g A I A J l F b F E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W Y w t 7 G b h 6 R J J T 8 W M i O f C M A A A A A A I A A A A A A A N m A A D A A A A A E A A A A E G D j A a M 0 G m J I B l R g u 0 k 7 a 8 A A A A A B I A A A K A A A A A Q A A A A Y Q C 4 p Y H y e 3 P c y J 7 4 0 L z 0 v l A A A A D n 0 b D v G H B f y P b p k B j d F s U x L b O k E T T J e h n c B N l 0 V 2 Q f h R V k r O f B L X e W n i t G S Y v t U V L u 0 m r u X N 1 8 0 0 a y X T N 9 N q c e F + T E + 8 4 S z b / K h M r j N d c I Q R Q A A A B 4 4 j t u p w 3 z Z 7 a k 3 P + g 8 M 3 K Q 6 9 p V Q = = < / D a t a M a s h u p > 
</file>

<file path=customXml/itemProps1.xml><?xml version="1.0" encoding="utf-8"?>
<ds:datastoreItem xmlns:ds="http://schemas.openxmlformats.org/officeDocument/2006/customXml" ds:itemID="{06C040CA-C53A-47DB-BCDF-FB5C639D2C9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Forest FES-Wave</vt:lpstr>
      <vt:lpstr>Forest FES-Wave Mobile</vt:lpstr>
      <vt:lpstr>'Forest FES-Wave'!Afdrukbereik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Mulderij – Forestgroup</dc:creator>
  <cp:lastModifiedBy>Wouter Mulderij – Forestgroup</cp:lastModifiedBy>
  <cp:lastPrinted>2025-12-18T10:06:34Z</cp:lastPrinted>
  <dcterms:created xsi:type="dcterms:W3CDTF">2020-11-12T07:07:18Z</dcterms:created>
  <dcterms:modified xsi:type="dcterms:W3CDTF">2026-07-10T08:03:33Z</dcterms:modified>
</cp:coreProperties>
</file>